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yan\Documents\PCR courses 112 323 355\GEOL 323\ERW 2021\BR vs PV\"/>
    </mc:Choice>
  </mc:AlternateContent>
  <xr:revisionPtr revIDLastSave="0" documentId="13_ncr:1_{027CCF93-8168-4782-B39F-2FF8408F64AF}" xr6:coauthVersionLast="47" xr6:coauthVersionMax="47" xr10:uidLastSave="{00000000-0000-0000-0000-000000000000}"/>
  <bookViews>
    <workbookView xWindow="380" yWindow="160" windowWidth="17930" windowHeight="10040" activeTab="2" xr2:uid="{0ED107DC-974F-4CE3-B3CE-CCA56F56CBBE}"/>
  </bookViews>
  <sheets>
    <sheet name="uncor BR PV" sheetId="1" r:id="rId1"/>
    <sheet name="cor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40" i="3" l="1"/>
  <c r="V52" i="3" l="1"/>
  <c r="V50" i="3"/>
  <c r="V49" i="3"/>
  <c r="V48" i="3"/>
  <c r="V47" i="3"/>
  <c r="V45" i="3"/>
  <c r="V44" i="3"/>
  <c r="V43" i="3"/>
  <c r="V42" i="3"/>
  <c r="V41" i="3"/>
  <c r="V40" i="3"/>
  <c r="V38" i="3"/>
  <c r="V37" i="3"/>
  <c r="V36" i="3"/>
  <c r="V35" i="3"/>
  <c r="V34" i="3"/>
  <c r="V33" i="3"/>
  <c r="V31" i="3"/>
  <c r="V30" i="3"/>
  <c r="V29" i="3"/>
  <c r="V28" i="3"/>
  <c r="V27" i="3"/>
  <c r="V26" i="3"/>
  <c r="V24" i="3"/>
  <c r="V23" i="3"/>
  <c r="V22" i="3"/>
  <c r="V21" i="3"/>
  <c r="V20" i="3"/>
  <c r="V19" i="3"/>
  <c r="V51" i="3"/>
  <c r="V17" i="3"/>
  <c r="V16" i="3"/>
  <c r="V15" i="3"/>
  <c r="V14" i="3"/>
  <c r="V13" i="3"/>
  <c r="V12" i="3" l="1"/>
  <c r="U12" i="3" s="1"/>
  <c r="I3" i="1" l="1"/>
  <c r="S6" i="3"/>
  <c r="T6" i="3" s="1"/>
  <c r="S7" i="3"/>
  <c r="T7" i="3" s="1"/>
  <c r="S8" i="3"/>
  <c r="T8" i="3" s="1"/>
  <c r="S9" i="3"/>
  <c r="T9" i="3" s="1"/>
  <c r="S10" i="3"/>
  <c r="T10" i="3" s="1"/>
  <c r="S12" i="3"/>
  <c r="S13" i="3"/>
  <c r="S14" i="3"/>
  <c r="S15" i="3"/>
  <c r="S16" i="3"/>
  <c r="S17" i="3"/>
  <c r="S19" i="3"/>
  <c r="S20" i="3"/>
  <c r="S21" i="3"/>
  <c r="S22" i="3"/>
  <c r="S23" i="3"/>
  <c r="S24" i="3"/>
  <c r="S26" i="3"/>
  <c r="S27" i="3"/>
  <c r="S28" i="3"/>
  <c r="S29" i="3"/>
  <c r="S30" i="3"/>
  <c r="S31" i="3"/>
  <c r="S33" i="3"/>
  <c r="S34" i="3"/>
  <c r="Z34" i="3" s="1"/>
  <c r="S35" i="3"/>
  <c r="S36" i="3"/>
  <c r="S37" i="3"/>
  <c r="S38" i="3"/>
  <c r="S40" i="3"/>
  <c r="S41" i="3"/>
  <c r="S42" i="3"/>
  <c r="S43" i="3"/>
  <c r="S44" i="3"/>
  <c r="S45" i="3"/>
  <c r="S47" i="3"/>
  <c r="S48" i="3"/>
  <c r="S49" i="3"/>
  <c r="S50" i="3"/>
  <c r="S51" i="3"/>
  <c r="S52" i="3"/>
  <c r="S5" i="3"/>
  <c r="T5" i="3" s="1"/>
  <c r="R5" i="3"/>
  <c r="M5" i="3"/>
  <c r="R6" i="3"/>
  <c r="R7" i="3"/>
  <c r="R8" i="3"/>
  <c r="R9" i="3"/>
  <c r="R10" i="3"/>
  <c r="R12" i="3"/>
  <c r="R13" i="3"/>
  <c r="R14" i="3"/>
  <c r="R15" i="3"/>
  <c r="R16" i="3"/>
  <c r="R17" i="3"/>
  <c r="R19" i="3"/>
  <c r="R20" i="3"/>
  <c r="R21" i="3"/>
  <c r="R22" i="3"/>
  <c r="R23" i="3"/>
  <c r="R24" i="3"/>
  <c r="R26" i="3"/>
  <c r="R27" i="3"/>
  <c r="R28" i="3"/>
  <c r="R29" i="3"/>
  <c r="R30" i="3"/>
  <c r="R31" i="3"/>
  <c r="R33" i="3"/>
  <c r="R34" i="3"/>
  <c r="R35" i="3"/>
  <c r="R36" i="3"/>
  <c r="R37" i="3"/>
  <c r="R38" i="3"/>
  <c r="R40" i="3"/>
  <c r="R41" i="3"/>
  <c r="R42" i="3"/>
  <c r="R43" i="3"/>
  <c r="R44" i="3"/>
  <c r="R45" i="3"/>
  <c r="R47" i="3"/>
  <c r="R48" i="3"/>
  <c r="R49" i="3"/>
  <c r="R50" i="3"/>
  <c r="R51" i="3"/>
  <c r="R52" i="3"/>
  <c r="Q6" i="3"/>
  <c r="Q7" i="3"/>
  <c r="Q8" i="3"/>
  <c r="Q9" i="3"/>
  <c r="Q10" i="3"/>
  <c r="Q12" i="3"/>
  <c r="Q13" i="3"/>
  <c r="Q14" i="3"/>
  <c r="Q15" i="3"/>
  <c r="Q16" i="3"/>
  <c r="Q17" i="3"/>
  <c r="Q19" i="3"/>
  <c r="Q20" i="3"/>
  <c r="Q21" i="3"/>
  <c r="Q22" i="3"/>
  <c r="Q23" i="3"/>
  <c r="Q24" i="3"/>
  <c r="Q26" i="3"/>
  <c r="Q27" i="3"/>
  <c r="Q28" i="3"/>
  <c r="Q29" i="3"/>
  <c r="Q30" i="3"/>
  <c r="Q31" i="3"/>
  <c r="Q33" i="3"/>
  <c r="Q34" i="3"/>
  <c r="Q35" i="3"/>
  <c r="Q36" i="3"/>
  <c r="Q37" i="3"/>
  <c r="Q38" i="3"/>
  <c r="Q40" i="3"/>
  <c r="Q41" i="3"/>
  <c r="Q42" i="3"/>
  <c r="Q43" i="3"/>
  <c r="Q44" i="3"/>
  <c r="Q45" i="3"/>
  <c r="Q47" i="3"/>
  <c r="Q48" i="3"/>
  <c r="Q49" i="3"/>
  <c r="Q50" i="3"/>
  <c r="Q51" i="3"/>
  <c r="Q52" i="3"/>
  <c r="Q5" i="3"/>
  <c r="P6" i="3"/>
  <c r="P7" i="3"/>
  <c r="P8" i="3"/>
  <c r="P9" i="3"/>
  <c r="P10" i="3"/>
  <c r="P12" i="3"/>
  <c r="W12" i="3" s="1"/>
  <c r="X12" i="3" s="1"/>
  <c r="Y12" i="3" s="1"/>
  <c r="P13" i="3"/>
  <c r="W13" i="3" s="1"/>
  <c r="X13" i="3" s="1"/>
  <c r="Y13" i="3" s="1"/>
  <c r="P14" i="3"/>
  <c r="W14" i="3" s="1"/>
  <c r="X14" i="3" s="1"/>
  <c r="Y14" i="3" s="1"/>
  <c r="P15" i="3"/>
  <c r="W15" i="3" s="1"/>
  <c r="X15" i="3" s="1"/>
  <c r="Y15" i="3" s="1"/>
  <c r="P16" i="3"/>
  <c r="W16" i="3" s="1"/>
  <c r="X16" i="3" s="1"/>
  <c r="Y16" i="3" s="1"/>
  <c r="P17" i="3"/>
  <c r="W17" i="3" s="1"/>
  <c r="X17" i="3" s="1"/>
  <c r="Y17" i="3" s="1"/>
  <c r="P19" i="3"/>
  <c r="W19" i="3" s="1"/>
  <c r="X19" i="3" s="1"/>
  <c r="Y19" i="3" s="1"/>
  <c r="P20" i="3"/>
  <c r="W20" i="3" s="1"/>
  <c r="X20" i="3" s="1"/>
  <c r="Y20" i="3" s="1"/>
  <c r="P21" i="3"/>
  <c r="W21" i="3" s="1"/>
  <c r="X21" i="3" s="1"/>
  <c r="Y21" i="3" s="1"/>
  <c r="P22" i="3"/>
  <c r="W22" i="3" s="1"/>
  <c r="X22" i="3" s="1"/>
  <c r="Y22" i="3" s="1"/>
  <c r="P23" i="3"/>
  <c r="W23" i="3" s="1"/>
  <c r="X23" i="3" s="1"/>
  <c r="Y23" i="3" s="1"/>
  <c r="P24" i="3"/>
  <c r="W24" i="3" s="1"/>
  <c r="X24" i="3" s="1"/>
  <c r="Y24" i="3" s="1"/>
  <c r="P26" i="3"/>
  <c r="W26" i="3" s="1"/>
  <c r="X26" i="3" s="1"/>
  <c r="Y26" i="3" s="1"/>
  <c r="P27" i="3"/>
  <c r="W27" i="3" s="1"/>
  <c r="X27" i="3" s="1"/>
  <c r="Y27" i="3" s="1"/>
  <c r="P28" i="3"/>
  <c r="W28" i="3" s="1"/>
  <c r="X28" i="3" s="1"/>
  <c r="Y28" i="3" s="1"/>
  <c r="P29" i="3"/>
  <c r="W29" i="3" s="1"/>
  <c r="X29" i="3" s="1"/>
  <c r="Y29" i="3" s="1"/>
  <c r="P30" i="3"/>
  <c r="W30" i="3" s="1"/>
  <c r="X30" i="3" s="1"/>
  <c r="Y30" i="3" s="1"/>
  <c r="P31" i="3"/>
  <c r="W31" i="3" s="1"/>
  <c r="X31" i="3" s="1"/>
  <c r="Y31" i="3" s="1"/>
  <c r="P33" i="3"/>
  <c r="W33" i="3" s="1"/>
  <c r="X33" i="3" s="1"/>
  <c r="Y33" i="3" s="1"/>
  <c r="P34" i="3"/>
  <c r="W34" i="3" s="1"/>
  <c r="X34" i="3" s="1"/>
  <c r="Y34" i="3" s="1"/>
  <c r="P35" i="3"/>
  <c r="W35" i="3" s="1"/>
  <c r="X35" i="3" s="1"/>
  <c r="Y35" i="3" s="1"/>
  <c r="P36" i="3"/>
  <c r="W36" i="3" s="1"/>
  <c r="X36" i="3" s="1"/>
  <c r="Y36" i="3" s="1"/>
  <c r="P37" i="3"/>
  <c r="W37" i="3" s="1"/>
  <c r="X37" i="3" s="1"/>
  <c r="Y37" i="3" s="1"/>
  <c r="P38" i="3"/>
  <c r="W38" i="3" s="1"/>
  <c r="X38" i="3" s="1"/>
  <c r="Y38" i="3" s="1"/>
  <c r="P40" i="3"/>
  <c r="W40" i="3" s="1"/>
  <c r="X40" i="3" s="1"/>
  <c r="Y40" i="3" s="1"/>
  <c r="P41" i="3"/>
  <c r="W41" i="3" s="1"/>
  <c r="X41" i="3" s="1"/>
  <c r="Y41" i="3" s="1"/>
  <c r="P42" i="3"/>
  <c r="W42" i="3" s="1"/>
  <c r="X42" i="3" s="1"/>
  <c r="Y42" i="3" s="1"/>
  <c r="P43" i="3"/>
  <c r="W43" i="3" s="1"/>
  <c r="X43" i="3" s="1"/>
  <c r="Y43" i="3" s="1"/>
  <c r="P44" i="3"/>
  <c r="W44" i="3" s="1"/>
  <c r="X44" i="3" s="1"/>
  <c r="Y44" i="3" s="1"/>
  <c r="P45" i="3"/>
  <c r="W45" i="3" s="1"/>
  <c r="X45" i="3" s="1"/>
  <c r="Y45" i="3" s="1"/>
  <c r="P47" i="3"/>
  <c r="W47" i="3" s="1"/>
  <c r="X47" i="3" s="1"/>
  <c r="Y47" i="3" s="1"/>
  <c r="P48" i="3"/>
  <c r="W48" i="3" s="1"/>
  <c r="X48" i="3" s="1"/>
  <c r="Y48" i="3" s="1"/>
  <c r="P49" i="3"/>
  <c r="W49" i="3" s="1"/>
  <c r="X49" i="3" s="1"/>
  <c r="Y49" i="3" s="1"/>
  <c r="P50" i="3"/>
  <c r="W50" i="3" s="1"/>
  <c r="X50" i="3" s="1"/>
  <c r="Y50" i="3" s="1"/>
  <c r="P51" i="3"/>
  <c r="W51" i="3" s="1"/>
  <c r="X51" i="3" s="1"/>
  <c r="Y51" i="3" s="1"/>
  <c r="P52" i="3"/>
  <c r="W52" i="3" s="1"/>
  <c r="X52" i="3" s="1"/>
  <c r="Y52" i="3" s="1"/>
  <c r="P5" i="3"/>
  <c r="O6" i="3"/>
  <c r="O7" i="3"/>
  <c r="O8" i="3"/>
  <c r="O9" i="3"/>
  <c r="O10" i="3"/>
  <c r="O12" i="3"/>
  <c r="O13" i="3"/>
  <c r="O14" i="3"/>
  <c r="O15" i="3"/>
  <c r="O16" i="3"/>
  <c r="O17" i="3"/>
  <c r="O19" i="3"/>
  <c r="O20" i="3"/>
  <c r="O21" i="3"/>
  <c r="O22" i="3"/>
  <c r="O23" i="3"/>
  <c r="O24" i="3"/>
  <c r="O26" i="3"/>
  <c r="O27" i="3"/>
  <c r="O28" i="3"/>
  <c r="O29" i="3"/>
  <c r="O30" i="3"/>
  <c r="O31" i="3"/>
  <c r="O33" i="3"/>
  <c r="O34" i="3"/>
  <c r="O35" i="3"/>
  <c r="O36" i="3"/>
  <c r="O37" i="3"/>
  <c r="O38" i="3"/>
  <c r="O40" i="3"/>
  <c r="O41" i="3"/>
  <c r="O42" i="3"/>
  <c r="O43" i="3"/>
  <c r="O44" i="3"/>
  <c r="O45" i="3"/>
  <c r="O47" i="3"/>
  <c r="O48" i="3"/>
  <c r="O49" i="3"/>
  <c r="O50" i="3"/>
  <c r="O51" i="3"/>
  <c r="O52" i="3"/>
  <c r="O5" i="3"/>
  <c r="N6" i="3"/>
  <c r="N7" i="3"/>
  <c r="N8" i="3"/>
  <c r="N9" i="3"/>
  <c r="N10" i="3"/>
  <c r="N12" i="3"/>
  <c r="N13" i="3"/>
  <c r="N14" i="3"/>
  <c r="N15" i="3"/>
  <c r="N16" i="3"/>
  <c r="N17" i="3"/>
  <c r="N19" i="3"/>
  <c r="N20" i="3"/>
  <c r="N21" i="3"/>
  <c r="N22" i="3"/>
  <c r="N23" i="3"/>
  <c r="N24" i="3"/>
  <c r="N26" i="3"/>
  <c r="N27" i="3"/>
  <c r="N28" i="3"/>
  <c r="N29" i="3"/>
  <c r="N30" i="3"/>
  <c r="N31" i="3"/>
  <c r="N33" i="3"/>
  <c r="N34" i="3"/>
  <c r="N35" i="3"/>
  <c r="N36" i="3"/>
  <c r="N37" i="3"/>
  <c r="N38" i="3"/>
  <c r="N40" i="3"/>
  <c r="N41" i="3"/>
  <c r="N42" i="3"/>
  <c r="N43" i="3"/>
  <c r="N44" i="3"/>
  <c r="N45" i="3"/>
  <c r="N47" i="3"/>
  <c r="N48" i="3"/>
  <c r="N49" i="3"/>
  <c r="N50" i="3"/>
  <c r="N51" i="3"/>
  <c r="N52" i="3"/>
  <c r="N5" i="3"/>
  <c r="M6" i="3"/>
  <c r="M7" i="3"/>
  <c r="M8" i="3"/>
  <c r="M9" i="3"/>
  <c r="M10" i="3"/>
  <c r="M12" i="3"/>
  <c r="M13" i="3"/>
  <c r="M14" i="3"/>
  <c r="M15" i="3"/>
  <c r="M16" i="3"/>
  <c r="M17" i="3"/>
  <c r="M19" i="3"/>
  <c r="M20" i="3"/>
  <c r="M21" i="3"/>
  <c r="M22" i="3"/>
  <c r="M23" i="3"/>
  <c r="M24" i="3"/>
  <c r="M26" i="3"/>
  <c r="M27" i="3"/>
  <c r="M28" i="3"/>
  <c r="M29" i="3"/>
  <c r="M30" i="3"/>
  <c r="M31" i="3"/>
  <c r="M33" i="3"/>
  <c r="M34" i="3"/>
  <c r="M35" i="3"/>
  <c r="M36" i="3"/>
  <c r="M37" i="3"/>
  <c r="M38" i="3"/>
  <c r="M40" i="3"/>
  <c r="M41" i="3"/>
  <c r="M42" i="3"/>
  <c r="M43" i="3"/>
  <c r="M44" i="3"/>
  <c r="M45" i="3"/>
  <c r="M47" i="3"/>
  <c r="M48" i="3"/>
  <c r="M49" i="3"/>
  <c r="M50" i="3"/>
  <c r="M51" i="3"/>
  <c r="M52" i="3"/>
  <c r="K53" i="3"/>
  <c r="J53" i="3"/>
  <c r="I53" i="3"/>
  <c r="H53" i="3"/>
  <c r="S53" i="3" s="1"/>
  <c r="G53" i="3"/>
  <c r="R53" i="3" s="1"/>
  <c r="F53" i="3"/>
  <c r="Q53" i="3" s="1"/>
  <c r="E53" i="3"/>
  <c r="P53" i="3" s="1"/>
  <c r="D53" i="3"/>
  <c r="O53" i="3" s="1"/>
  <c r="C53" i="3"/>
  <c r="N53" i="3" s="1"/>
  <c r="B53" i="3"/>
  <c r="M53" i="3" s="1"/>
  <c r="K46" i="3"/>
  <c r="J46" i="3"/>
  <c r="I46" i="3"/>
  <c r="H46" i="3"/>
  <c r="S46" i="3" s="1"/>
  <c r="G46" i="3"/>
  <c r="R46" i="3" s="1"/>
  <c r="F46" i="3"/>
  <c r="Q46" i="3" s="1"/>
  <c r="E46" i="3"/>
  <c r="P46" i="3" s="1"/>
  <c r="D46" i="3"/>
  <c r="O46" i="3" s="1"/>
  <c r="C46" i="3"/>
  <c r="N46" i="3" s="1"/>
  <c r="B46" i="3"/>
  <c r="M46" i="3" s="1"/>
  <c r="K39" i="3"/>
  <c r="J39" i="3"/>
  <c r="I39" i="3"/>
  <c r="H39" i="3"/>
  <c r="S39" i="3" s="1"/>
  <c r="G39" i="3"/>
  <c r="R39" i="3" s="1"/>
  <c r="F39" i="3"/>
  <c r="Q39" i="3" s="1"/>
  <c r="E39" i="3"/>
  <c r="P39" i="3" s="1"/>
  <c r="D39" i="3"/>
  <c r="O39" i="3" s="1"/>
  <c r="C39" i="3"/>
  <c r="N39" i="3" s="1"/>
  <c r="B39" i="3"/>
  <c r="M39" i="3" s="1"/>
  <c r="K32" i="3"/>
  <c r="J32" i="3"/>
  <c r="I32" i="3"/>
  <c r="H32" i="3"/>
  <c r="S32" i="3" s="1"/>
  <c r="G32" i="3"/>
  <c r="R32" i="3" s="1"/>
  <c r="F32" i="3"/>
  <c r="Q32" i="3" s="1"/>
  <c r="E32" i="3"/>
  <c r="P32" i="3" s="1"/>
  <c r="D32" i="3"/>
  <c r="O32" i="3" s="1"/>
  <c r="C32" i="3"/>
  <c r="N32" i="3" s="1"/>
  <c r="B32" i="3"/>
  <c r="M32" i="3" s="1"/>
  <c r="K25" i="3"/>
  <c r="J25" i="3"/>
  <c r="I25" i="3"/>
  <c r="H25" i="3"/>
  <c r="S25" i="3" s="1"/>
  <c r="G25" i="3"/>
  <c r="R25" i="3" s="1"/>
  <c r="F25" i="3"/>
  <c r="Q25" i="3" s="1"/>
  <c r="E25" i="3"/>
  <c r="P25" i="3" s="1"/>
  <c r="D25" i="3"/>
  <c r="O25" i="3" s="1"/>
  <c r="C25" i="3"/>
  <c r="N25" i="3" s="1"/>
  <c r="B25" i="3"/>
  <c r="M25" i="3" s="1"/>
  <c r="K18" i="3"/>
  <c r="J18" i="3"/>
  <c r="I18" i="3"/>
  <c r="H18" i="3"/>
  <c r="S18" i="3" s="1"/>
  <c r="T18" i="3" s="1"/>
  <c r="G18" i="3"/>
  <c r="R18" i="3" s="1"/>
  <c r="F18" i="3"/>
  <c r="Q18" i="3" s="1"/>
  <c r="E18" i="3"/>
  <c r="P18" i="3" s="1"/>
  <c r="D18" i="3"/>
  <c r="O18" i="3" s="1"/>
  <c r="C18" i="3"/>
  <c r="N18" i="3" s="1"/>
  <c r="B18" i="3"/>
  <c r="M18" i="3" s="1"/>
  <c r="C11" i="3"/>
  <c r="N11" i="3" s="1"/>
  <c r="D11" i="3"/>
  <c r="O11" i="3" s="1"/>
  <c r="E11" i="3"/>
  <c r="P11" i="3" s="1"/>
  <c r="F11" i="3"/>
  <c r="Q11" i="3" s="1"/>
  <c r="G11" i="3"/>
  <c r="R11" i="3" s="1"/>
  <c r="H11" i="3"/>
  <c r="S11" i="3" s="1"/>
  <c r="T11" i="3" s="1"/>
  <c r="I11" i="3"/>
  <c r="J11" i="3"/>
  <c r="K11" i="3"/>
  <c r="B11" i="3"/>
  <c r="M11" i="3" s="1"/>
  <c r="J75" i="2"/>
  <c r="I75" i="2"/>
  <c r="H75" i="2"/>
  <c r="G75" i="2"/>
  <c r="F75" i="2"/>
  <c r="E75" i="2"/>
  <c r="D75" i="2"/>
  <c r="C75" i="2"/>
  <c r="B75" i="2"/>
  <c r="H72" i="2"/>
  <c r="G72" i="2"/>
  <c r="F72" i="2"/>
  <c r="E72" i="2"/>
  <c r="D72" i="2"/>
  <c r="C72" i="2"/>
  <c r="B72" i="2"/>
  <c r="K71" i="2"/>
  <c r="K70" i="2"/>
  <c r="K69" i="2"/>
  <c r="K68" i="2"/>
  <c r="K67" i="2"/>
  <c r="K66" i="2"/>
  <c r="H62" i="2"/>
  <c r="G62" i="2"/>
  <c r="F62" i="2"/>
  <c r="E62" i="2"/>
  <c r="D62" i="2"/>
  <c r="C62" i="2"/>
  <c r="B62" i="2"/>
  <c r="K61" i="2"/>
  <c r="K60" i="2"/>
  <c r="K59" i="2"/>
  <c r="K58" i="2"/>
  <c r="K57" i="2"/>
  <c r="K56" i="2"/>
  <c r="H52" i="2"/>
  <c r="G52" i="2"/>
  <c r="F52" i="2"/>
  <c r="E52" i="2"/>
  <c r="D52" i="2"/>
  <c r="C52" i="2"/>
  <c r="B52" i="2"/>
  <c r="K51" i="2"/>
  <c r="K50" i="2"/>
  <c r="K49" i="2"/>
  <c r="K48" i="2"/>
  <c r="K47" i="2"/>
  <c r="K46" i="2"/>
  <c r="H42" i="2"/>
  <c r="G42" i="2"/>
  <c r="F42" i="2"/>
  <c r="E42" i="2"/>
  <c r="D42" i="2"/>
  <c r="C42" i="2"/>
  <c r="B42" i="2"/>
  <c r="K41" i="2"/>
  <c r="K40" i="2"/>
  <c r="K39" i="2"/>
  <c r="K38" i="2"/>
  <c r="K37" i="2"/>
  <c r="K36" i="2"/>
  <c r="H32" i="2"/>
  <c r="G32" i="2"/>
  <c r="F32" i="2"/>
  <c r="E32" i="2"/>
  <c r="D32" i="2"/>
  <c r="C32" i="2"/>
  <c r="B32" i="2"/>
  <c r="K31" i="2"/>
  <c r="K30" i="2"/>
  <c r="K29" i="2"/>
  <c r="K28" i="2"/>
  <c r="K27" i="2"/>
  <c r="K26" i="2"/>
  <c r="H22" i="2"/>
  <c r="G22" i="2"/>
  <c r="F22" i="2"/>
  <c r="E22" i="2"/>
  <c r="D22" i="2"/>
  <c r="C22" i="2"/>
  <c r="B22" i="2"/>
  <c r="K21" i="2"/>
  <c r="K20" i="2"/>
  <c r="K19" i="2"/>
  <c r="K18" i="2"/>
  <c r="K17" i="2"/>
  <c r="K16" i="2"/>
  <c r="H13" i="2"/>
  <c r="G13" i="2"/>
  <c r="F13" i="2"/>
  <c r="E13" i="2"/>
  <c r="D13" i="2"/>
  <c r="C13" i="2"/>
  <c r="B13" i="2"/>
  <c r="K12" i="2"/>
  <c r="K11" i="2"/>
  <c r="K10" i="2"/>
  <c r="K9" i="2"/>
  <c r="K8" i="2"/>
  <c r="K7" i="2"/>
  <c r="K3" i="2"/>
  <c r="E45" i="1"/>
  <c r="J35" i="1"/>
  <c r="H35" i="1"/>
  <c r="G35" i="1"/>
  <c r="C13" i="1"/>
  <c r="D13" i="1"/>
  <c r="E13" i="1"/>
  <c r="F13" i="1"/>
  <c r="G13" i="1"/>
  <c r="H13" i="1"/>
  <c r="B13" i="1"/>
  <c r="C72" i="1"/>
  <c r="D72" i="1"/>
  <c r="E72" i="1"/>
  <c r="F72" i="1"/>
  <c r="G72" i="1"/>
  <c r="H72" i="1"/>
  <c r="F75" i="1"/>
  <c r="G65" i="1"/>
  <c r="H65" i="1"/>
  <c r="F65" i="1"/>
  <c r="F55" i="1"/>
  <c r="F45" i="1"/>
  <c r="D5" i="1"/>
  <c r="D15" i="1"/>
  <c r="B5" i="1"/>
  <c r="M75" i="1"/>
  <c r="N75" i="1"/>
  <c r="O75" i="1"/>
  <c r="P75" i="1"/>
  <c r="Q75" i="1"/>
  <c r="R75" i="1"/>
  <c r="S75" i="1"/>
  <c r="T75" i="1"/>
  <c r="U75" i="1"/>
  <c r="V75" i="1"/>
  <c r="L75" i="1"/>
  <c r="J75" i="1"/>
  <c r="H75" i="1"/>
  <c r="G75" i="1"/>
  <c r="E75" i="1"/>
  <c r="D75" i="1"/>
  <c r="C75" i="1"/>
  <c r="B75" i="1"/>
  <c r="J65" i="1"/>
  <c r="C65" i="1"/>
  <c r="D65" i="1"/>
  <c r="E65" i="1"/>
  <c r="B65" i="1"/>
  <c r="J55" i="1"/>
  <c r="H55" i="1"/>
  <c r="G55" i="1"/>
  <c r="C55" i="1"/>
  <c r="D55" i="1"/>
  <c r="E55" i="1"/>
  <c r="B55" i="1"/>
  <c r="C45" i="1"/>
  <c r="D45" i="1"/>
  <c r="B45" i="1"/>
  <c r="U45" i="1"/>
  <c r="M45" i="1"/>
  <c r="N45" i="1"/>
  <c r="O45" i="1"/>
  <c r="P45" i="1"/>
  <c r="Q45" i="1"/>
  <c r="R45" i="1"/>
  <c r="S45" i="1"/>
  <c r="T45" i="1"/>
  <c r="V45" i="1"/>
  <c r="L45" i="1"/>
  <c r="J45" i="1"/>
  <c r="H45" i="1"/>
  <c r="G45" i="1"/>
  <c r="C35" i="1"/>
  <c r="M25" i="1"/>
  <c r="N25" i="1"/>
  <c r="O25" i="1"/>
  <c r="P25" i="1"/>
  <c r="Q25" i="1"/>
  <c r="R25" i="1"/>
  <c r="S25" i="1"/>
  <c r="T25" i="1"/>
  <c r="U25" i="1"/>
  <c r="V25" i="1"/>
  <c r="L25" i="1"/>
  <c r="J25" i="1"/>
  <c r="H25" i="1"/>
  <c r="G25" i="1"/>
  <c r="C25" i="1"/>
  <c r="D25" i="1"/>
  <c r="E25" i="1"/>
  <c r="F25" i="1"/>
  <c r="B25" i="1"/>
  <c r="M15" i="1"/>
  <c r="N15" i="1"/>
  <c r="O15" i="1"/>
  <c r="P15" i="1"/>
  <c r="Q15" i="1"/>
  <c r="R15" i="1"/>
  <c r="S15" i="1"/>
  <c r="T15" i="1"/>
  <c r="U15" i="1"/>
  <c r="V15" i="1"/>
  <c r="L15" i="1"/>
  <c r="C15" i="1"/>
  <c r="E15" i="1"/>
  <c r="F15" i="1"/>
  <c r="B15" i="1"/>
  <c r="C5" i="1"/>
  <c r="T5" i="1"/>
  <c r="U5" i="1"/>
  <c r="V5" i="1"/>
  <c r="P5" i="1"/>
  <c r="Q5" i="1"/>
  <c r="R5" i="1"/>
  <c r="S5" i="1"/>
  <c r="S56" i="1" s="1"/>
  <c r="S58" i="1" s="1"/>
  <c r="S60" i="1" s="1"/>
  <c r="M5" i="1"/>
  <c r="N5" i="1"/>
  <c r="O5" i="1"/>
  <c r="L5" i="1"/>
  <c r="J5" i="1"/>
  <c r="H5" i="1"/>
  <c r="G5" i="1"/>
  <c r="E5" i="1"/>
  <c r="F5" i="1"/>
  <c r="I71" i="1"/>
  <c r="I70" i="1"/>
  <c r="I69" i="1"/>
  <c r="I68" i="1"/>
  <c r="I67" i="1"/>
  <c r="I66" i="1"/>
  <c r="I61" i="1"/>
  <c r="I60" i="1"/>
  <c r="I59" i="1"/>
  <c r="I58" i="1"/>
  <c r="I57" i="1"/>
  <c r="I56" i="1"/>
  <c r="I51" i="1"/>
  <c r="I50" i="1"/>
  <c r="I49" i="1"/>
  <c r="I48" i="1"/>
  <c r="I47" i="1"/>
  <c r="I46" i="1"/>
  <c r="I41" i="1"/>
  <c r="I40" i="1"/>
  <c r="I39" i="1"/>
  <c r="I38" i="1"/>
  <c r="I37" i="1"/>
  <c r="I36" i="1"/>
  <c r="I31" i="1"/>
  <c r="I30" i="1"/>
  <c r="I29" i="1"/>
  <c r="I28" i="1"/>
  <c r="I27" i="1"/>
  <c r="I26" i="1"/>
  <c r="I17" i="1"/>
  <c r="I18" i="1"/>
  <c r="I19" i="1"/>
  <c r="I20" i="1"/>
  <c r="I21" i="1"/>
  <c r="I16" i="1"/>
  <c r="I11" i="1"/>
  <c r="I10" i="1"/>
  <c r="I9" i="1"/>
  <c r="I12" i="1"/>
  <c r="I8" i="1"/>
  <c r="I7" i="1"/>
  <c r="B72" i="1"/>
  <c r="H62" i="1"/>
  <c r="G62" i="1"/>
  <c r="F62" i="1"/>
  <c r="E62" i="1"/>
  <c r="D62" i="1"/>
  <c r="C62" i="1"/>
  <c r="B62" i="1"/>
  <c r="B52" i="1"/>
  <c r="H52" i="1"/>
  <c r="I52" i="1" s="1"/>
  <c r="G52" i="1"/>
  <c r="F52" i="1"/>
  <c r="E52" i="1"/>
  <c r="D52" i="1"/>
  <c r="C52" i="1"/>
  <c r="B42" i="1"/>
  <c r="H42" i="1"/>
  <c r="G42" i="1"/>
  <c r="F42" i="1"/>
  <c r="E42" i="1"/>
  <c r="D42" i="1"/>
  <c r="C42" i="1"/>
  <c r="B32" i="1"/>
  <c r="H32" i="1"/>
  <c r="I32" i="1" s="1"/>
  <c r="G32" i="1"/>
  <c r="F32" i="1"/>
  <c r="E32" i="1"/>
  <c r="D32" i="1"/>
  <c r="C32" i="1"/>
  <c r="C22" i="1"/>
  <c r="D22" i="1"/>
  <c r="E22" i="1"/>
  <c r="F22" i="1"/>
  <c r="G22" i="1"/>
  <c r="H22" i="1"/>
  <c r="B22" i="1"/>
  <c r="N65" i="1"/>
  <c r="M65" i="1"/>
  <c r="L65" i="1"/>
  <c r="N55" i="1"/>
  <c r="O55" i="1"/>
  <c r="P55" i="1"/>
  <c r="Q55" i="1"/>
  <c r="R55" i="1"/>
  <c r="S55" i="1"/>
  <c r="S57" i="1" s="1"/>
  <c r="S59" i="1" s="1"/>
  <c r="S61" i="1" s="1"/>
  <c r="T55" i="1"/>
  <c r="M55" i="1"/>
  <c r="L55" i="1"/>
  <c r="N35" i="1"/>
  <c r="F35" i="1"/>
  <c r="O35" i="1"/>
  <c r="P35" i="1"/>
  <c r="R35" i="1"/>
  <c r="M35" i="1"/>
  <c r="L35" i="1"/>
  <c r="E35" i="1"/>
  <c r="B35" i="1"/>
  <c r="Z21" i="3" l="1"/>
  <c r="AA21" i="3" s="1"/>
  <c r="Z37" i="3"/>
  <c r="AA37" i="3" s="1"/>
  <c r="Z50" i="3"/>
  <c r="AA50" i="3" s="1"/>
  <c r="Z29" i="3"/>
  <c r="AA29" i="3" s="1"/>
  <c r="Z45" i="3"/>
  <c r="AA45" i="3" s="1"/>
  <c r="Z26" i="3"/>
  <c r="AA26" i="3" s="1"/>
  <c r="Z13" i="3"/>
  <c r="AA13" i="3" s="1"/>
  <c r="AA34" i="3"/>
  <c r="Z42" i="3"/>
  <c r="AA42" i="3" s="1"/>
  <c r="T37" i="3"/>
  <c r="T29" i="3"/>
  <c r="T21" i="3"/>
  <c r="T32" i="3"/>
  <c r="T43" i="3"/>
  <c r="Z43" i="3"/>
  <c r="AA43" i="3" s="1"/>
  <c r="T16" i="3"/>
  <c r="Z16" i="3"/>
  <c r="AA16" i="3" s="1"/>
  <c r="T34" i="3"/>
  <c r="T39" i="3"/>
  <c r="T51" i="3"/>
  <c r="Z51" i="3"/>
  <c r="AA51" i="3" s="1"/>
  <c r="T33" i="3"/>
  <c r="Z33" i="3"/>
  <c r="AA33" i="3" s="1"/>
  <c r="T24" i="3"/>
  <c r="Z24" i="3"/>
  <c r="AA24" i="3" s="1"/>
  <c r="T15" i="3"/>
  <c r="Z15" i="3"/>
  <c r="AA15" i="3" s="1"/>
  <c r="T44" i="3"/>
  <c r="Z44" i="3"/>
  <c r="AA44" i="3" s="1"/>
  <c r="T52" i="3"/>
  <c r="Z52" i="3"/>
  <c r="AA52" i="3" s="1"/>
  <c r="T41" i="3"/>
  <c r="Z41" i="3"/>
  <c r="AA41" i="3" s="1"/>
  <c r="T23" i="3"/>
  <c r="Z23" i="3"/>
  <c r="AA23" i="3" s="1"/>
  <c r="T14" i="3"/>
  <c r="Z14" i="3"/>
  <c r="AA14" i="3" s="1"/>
  <c r="T26" i="3"/>
  <c r="T17" i="3"/>
  <c r="Z17" i="3"/>
  <c r="AA17" i="3" s="1"/>
  <c r="T40" i="3"/>
  <c r="AA40" i="3"/>
  <c r="T31" i="3"/>
  <c r="Z31" i="3"/>
  <c r="AA31" i="3" s="1"/>
  <c r="T22" i="3"/>
  <c r="Z22" i="3"/>
  <c r="AA22" i="3" s="1"/>
  <c r="T48" i="3"/>
  <c r="Z48" i="3"/>
  <c r="AA48" i="3" s="1"/>
  <c r="T38" i="3"/>
  <c r="Z38" i="3"/>
  <c r="AA38" i="3" s="1"/>
  <c r="T30" i="3"/>
  <c r="Z30" i="3"/>
  <c r="AA30" i="3" s="1"/>
  <c r="T12" i="3"/>
  <c r="Z12" i="3"/>
  <c r="AA12" i="3" s="1"/>
  <c r="T50" i="3"/>
  <c r="T13" i="3"/>
  <c r="T35" i="3"/>
  <c r="Z35" i="3"/>
  <c r="AA35" i="3" s="1"/>
  <c r="T46" i="3"/>
  <c r="T49" i="3"/>
  <c r="Z49" i="3"/>
  <c r="AA49" i="3" s="1"/>
  <c r="T25" i="3"/>
  <c r="T53" i="3"/>
  <c r="T47" i="3"/>
  <c r="Z47" i="3"/>
  <c r="AA47" i="3" s="1"/>
  <c r="T20" i="3"/>
  <c r="Z20" i="3"/>
  <c r="AA20" i="3" s="1"/>
  <c r="T45" i="3"/>
  <c r="T27" i="3"/>
  <c r="Z27" i="3"/>
  <c r="AA27" i="3" s="1"/>
  <c r="T36" i="3"/>
  <c r="Z36" i="3"/>
  <c r="AA36" i="3" s="1"/>
  <c r="T28" i="3"/>
  <c r="Z28" i="3"/>
  <c r="AA28" i="3" s="1"/>
  <c r="T19" i="3"/>
  <c r="Z19" i="3"/>
  <c r="AA19" i="3" s="1"/>
  <c r="T42" i="3"/>
  <c r="K32" i="2"/>
  <c r="K13" i="2"/>
  <c r="K52" i="2"/>
  <c r="K72" i="2"/>
  <c r="K22" i="2"/>
  <c r="K42" i="2"/>
  <c r="K62" i="2"/>
  <c r="I13" i="1"/>
  <c r="I72" i="1"/>
  <c r="I22" i="1"/>
  <c r="I62" i="1"/>
  <c r="I4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tc={DAD757C7-23F2-4FC3-97E3-69CC318A2F87}</author>
  </authors>
  <commentList>
    <comment ref="A46" authorId="0" shapeId="0" xr:uid="{DAD757C7-23F2-4FC3-97E3-69CC318A2F87}">
      <text>
        <t>[Threaded comment]
Your version of Excel allows you to read this threaded comment; however, any edits to it will get removed if the file is opened in a newer version of Excel. Learn more: https://go.microsoft.com/fwlink/?linkid=870924
Comment:
    "Pio" is "PV" in the Appl Geochem ms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tc={0841958D-F1AC-4DC6-AF7E-40281FDD7583}</author>
  </authors>
  <commentList>
    <comment ref="A46" authorId="0" shapeId="0" xr:uid="{0841958D-F1AC-4DC6-AF7E-40281FDD7583}">
      <text>
        <t>[Threaded comment]
Your version of Excel allows you to read this threaded comment; however, any edits to it will get removed if the file is opened in a newer version of Excel. Learn more: https://go.microsoft.com/fwlink/?linkid=870924
Comment:
    "Pio" is "PV" in the Appl Geochem ms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tc={25CF1C03-D804-44CE-B3D8-32E456F5338A}</author>
  </authors>
  <commentList>
    <comment ref="M5" authorId="0" shapeId="0" xr:uid="{25CF1C03-D804-44CE-B3D8-32E456F5338A}">
      <text>
        <t>[Threaded comment]
Your version of Excel allows you to read this threaded comment; however, any edits to it will get removed if the file is opened in a newer version of Excel. Learn more: https://go.microsoft.com/fwlink/?linkid=870924
Comment:
    i.e. 4.4 x 10^-6 mol/L</t>
      </text>
    </comment>
  </commentList>
</comments>
</file>

<file path=xl/sharedStrings.xml><?xml version="1.0" encoding="utf-8"?>
<sst xmlns="http://schemas.openxmlformats.org/spreadsheetml/2006/main" count="306" uniqueCount="116">
  <si>
    <t>23Na (KED) [ppb]</t>
  </si>
  <si>
    <t>25Mg (KED) [ppb]</t>
  </si>
  <si>
    <t>27Al (KED) [ppb]</t>
  </si>
  <si>
    <t>29Si (KED) [ppb]</t>
  </si>
  <si>
    <t>31P (KED) [ppb]</t>
  </si>
  <si>
    <t>39K (KED) [ppb]</t>
  </si>
  <si>
    <t>44Ca (KED) [ppb]</t>
  </si>
  <si>
    <t>48Ti (KED) [ppb]</t>
  </si>
  <si>
    <t>51V (KED) [ppb]</t>
  </si>
  <si>
    <t>52Cr (KED) [ppb]</t>
  </si>
  <si>
    <t>55Mn (KED) [ppb]</t>
  </si>
  <si>
    <t>57Fe (KED) [ppb]</t>
  </si>
  <si>
    <t>59Co (KED) [ppb]</t>
  </si>
  <si>
    <t>60Ni (KED) [ppb]</t>
  </si>
  <si>
    <t>63Cu (KED) [ppb]</t>
  </si>
  <si>
    <t>66Zn (KED) [ppb]</t>
  </si>
  <si>
    <t>75As (KED) [ppb]</t>
  </si>
  <si>
    <t>85Rb (KED) [ppb]</t>
  </si>
  <si>
    <t>88Sr (KED) [ppb]</t>
  </si>
  <si>
    <t>137Ba (KED) [ppb]</t>
  </si>
  <si>
    <t>1643f</t>
  </si>
  <si>
    <t>ERW Blank final</t>
  </si>
  <si>
    <t>ERW Blank 5</t>
  </si>
  <si>
    <t>ERW Blank 4</t>
  </si>
  <si>
    <t>ERW Blank 3</t>
  </si>
  <si>
    <t>ERW Blank 2</t>
  </si>
  <si>
    <t>ERW Blank 1</t>
  </si>
  <si>
    <t>BR Coarse Final</t>
  </si>
  <si>
    <t>BR Coarse 5</t>
  </si>
  <si>
    <t>BR Coarse 4</t>
  </si>
  <si>
    <t>BR Coarse 3</t>
  </si>
  <si>
    <t>BR Coarse 2</t>
  </si>
  <si>
    <t>BR Coarse 1</t>
  </si>
  <si>
    <t>BR Medium Final</t>
  </si>
  <si>
    <t>BR Medium 5</t>
  </si>
  <si>
    <t>BR Medium 4</t>
  </si>
  <si>
    <t>BR Medium 3</t>
  </si>
  <si>
    <t>BR Medium 2</t>
  </si>
  <si>
    <t>BR Medium 1</t>
  </si>
  <si>
    <t>BR Fine Final</t>
  </si>
  <si>
    <t>BR Fine 5</t>
  </si>
  <si>
    <t>BR Fine 4</t>
  </si>
  <si>
    <t>BR Fine 3</t>
  </si>
  <si>
    <t>BR Fine 2</t>
  </si>
  <si>
    <t>BR Fine 1</t>
  </si>
  <si>
    <t>Pio Coarse Final</t>
  </si>
  <si>
    <t>Pio Coarse 5</t>
  </si>
  <si>
    <t>Pio Coarse 4</t>
  </si>
  <si>
    <t>Pio Coarse 3</t>
  </si>
  <si>
    <t>Pio Coarse 2</t>
  </si>
  <si>
    <t>Pio Coarse 1</t>
  </si>
  <si>
    <t>Pio Medium Final</t>
  </si>
  <si>
    <t>Pio Medium 5</t>
  </si>
  <si>
    <t>Pio Medium 4</t>
  </si>
  <si>
    <t>Pio Medium 3</t>
  </si>
  <si>
    <t>Pio Medium 2</t>
  </si>
  <si>
    <t>Pio Medium 1</t>
  </si>
  <si>
    <t>Pio Fine Final</t>
  </si>
  <si>
    <t>Pio Fine 5</t>
  </si>
  <si>
    <t>Pio Fine 4</t>
  </si>
  <si>
    <t>Pio Fine 3</t>
  </si>
  <si>
    <t>Pio Fine 2</t>
  </si>
  <si>
    <t>Pio Fine 1</t>
  </si>
  <si>
    <t>Na</t>
  </si>
  <si>
    <t>Mg</t>
  </si>
  <si>
    <t>Al</t>
  </si>
  <si>
    <t>Si</t>
  </si>
  <si>
    <t>P</t>
  </si>
  <si>
    <t>K</t>
  </si>
  <si>
    <t>Ca</t>
  </si>
  <si>
    <t>Ti</t>
  </si>
  <si>
    <t>V</t>
  </si>
  <si>
    <t>Cr</t>
  </si>
  <si>
    <t>Mn</t>
  </si>
  <si>
    <t>Fe</t>
  </si>
  <si>
    <t>Co</t>
  </si>
  <si>
    <t>Ni</t>
  </si>
  <si>
    <t>Cu</t>
  </si>
  <si>
    <t>Zn</t>
  </si>
  <si>
    <t>As</t>
  </si>
  <si>
    <t>Rb</t>
  </si>
  <si>
    <t>Sr</t>
  </si>
  <si>
    <t>Ba</t>
  </si>
  <si>
    <t>1500 250 30 15</t>
  </si>
  <si>
    <t>CorFac1</t>
  </si>
  <si>
    <t>NIST 1643fcert</t>
  </si>
  <si>
    <t>NA</t>
  </si>
  <si>
    <t>CorFac3</t>
  </si>
  <si>
    <t>CorFac4</t>
  </si>
  <si>
    <t>CorFac5</t>
  </si>
  <si>
    <t>CorFac6</t>
  </si>
  <si>
    <t>CorFac7</t>
  </si>
  <si>
    <t>CorFac8</t>
  </si>
  <si>
    <t>CorFac9</t>
  </si>
  <si>
    <t>H4SiO4</t>
  </si>
  <si>
    <t>SUM blank</t>
  </si>
  <si>
    <t>SUM BR coarse</t>
  </si>
  <si>
    <t>SUM BR med</t>
  </si>
  <si>
    <t>SUM BR fine</t>
  </si>
  <si>
    <t>SUM Pio coarse</t>
  </si>
  <si>
    <t>SUM Pio med</t>
  </si>
  <si>
    <t>SUM Pio fine</t>
  </si>
  <si>
    <t>ICPMS data uncorrected ERW April-May 2022</t>
  </si>
  <si>
    <t>ICPMS data corrected ERW April-May 2022.</t>
  </si>
  <si>
    <t>umol/L</t>
  </si>
  <si>
    <t>ppb (ug/l)</t>
  </si>
  <si>
    <t>[Mg]</t>
  </si>
  <si>
    <t>[H+]</t>
  </si>
  <si>
    <t>[H4SiO4]</t>
  </si>
  <si>
    <t>logH4SiO4</t>
  </si>
  <si>
    <t>pH</t>
  </si>
  <si>
    <t>[Mg]/[H+]2</t>
  </si>
  <si>
    <r>
      <t>logMg/[H+]</t>
    </r>
    <r>
      <rPr>
        <u/>
        <vertAlign val="superscript"/>
        <sz val="11"/>
        <color theme="1"/>
        <rFont val="Calibri"/>
        <family val="2"/>
        <scheme val="minor"/>
      </rPr>
      <t>2</t>
    </r>
  </si>
  <si>
    <t>Molar values</t>
  </si>
  <si>
    <t>ICPMS data corrected</t>
  </si>
  <si>
    <t xml:space="preserve"> ERW April-May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</si>
</sst>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6">
    <font>
      <sz val="11"/>
      <color theme="1"/>
      <name val="Calibri"/>
      <family val="2"/>
      <scheme val="minor"/>
    </font>
    <font>
      <sz val="9"/>
      <color rgb="FFFFFFFF"/>
      <name val="Helvetica Neue"/>
    </font>
    <font>
      <sz val="9"/>
      <color theme="1"/>
      <name val="Calibri"/>
      <family val="2"/>
      <scheme val="minor"/>
    </font>
    <font>
      <b/>
      <u/>
      <sz val="9"/>
      <name val="Helvetica Neue"/>
    </font>
    <font>
      <b/>
      <u/>
      <sz val="9"/>
      <name val="Calibri"/>
      <family val="2"/>
      <scheme val="minor"/>
    </font>
    <font>
      <sz val="9"/>
      <color theme="1"/>
      <name val="Helvetica Neue"/>
    </font>
    <font>
      <sz val="9"/>
      <color rgb="FFFF0000"/>
      <name val="Helvetica Neue"/>
    </font>
    <font>
      <i/>
      <sz val="9"/>
      <color theme="1"/>
      <name val="Calibri"/>
      <family val="2"/>
      <scheme val="minor"/>
    </font>
    <font>
      <i/>
      <sz val="9"/>
      <color theme="1"/>
      <name val="Microsoft Sans Serif"/>
      <family val="2"/>
    </font>
    <font>
      <sz val="9"/>
      <color rgb="FFFF9900"/>
      <name val="Helvetica Neue"/>
    </font>
    <font>
      <sz val="9"/>
      <color rgb="FF0070C0"/>
      <name val="Helvetica Neue"/>
    </font>
    <font>
      <sz val="9"/>
      <color rgb="FF0070C0"/>
      <name val="Calibri"/>
      <family val="2"/>
      <scheme val="minor"/>
    </font>
    <font>
      <b/>
      <sz val="9"/>
      <color theme="1"/>
      <name val="Helvetica Neue"/>
    </font>
    <font>
      <sz val="9"/>
      <color rgb="FF00B050"/>
      <name val="Helvetica Neue"/>
    </font>
    <font>
      <i/>
      <sz val="9"/>
      <color rgb="FF0070C0"/>
      <name val="Helvetica Neue"/>
    </font>
    <font>
      <i/>
      <sz val="9"/>
      <color rgb="FF0070C0"/>
      <name val="Calibri"/>
      <family val="2"/>
      <scheme val="minor"/>
    </font>
    <font>
      <i/>
      <sz val="9"/>
      <color rgb="FF00B050"/>
      <name val="Helvetica Neue"/>
    </font>
    <font>
      <i/>
      <sz val="9"/>
      <color rgb="FF00B05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FF0000"/>
      <name val="Helvetica Neue"/>
    </font>
    <font>
      <b/>
      <sz val="9"/>
      <color rgb="FF0070C0"/>
      <name val="Helvetica Neue"/>
    </font>
    <font>
      <b/>
      <sz val="9"/>
      <color rgb="FF00B050"/>
      <name val="Helvetica Neue"/>
    </font>
    <font>
      <sz val="9"/>
      <name val="Helvetica Neue"/>
    </font>
    <font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/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165" fontId="5" fillId="0" borderId="0" xfId="0" applyNumberFormat="1" applyFont="1" applyAlignment="1">
      <alignment horizontal="center" vertical="top" wrapText="1"/>
    </xf>
    <xf numFmtId="165" fontId="6" fillId="0" borderId="0" xfId="0" applyNumberFormat="1" applyFont="1" applyAlignment="1">
      <alignment horizontal="center" vertical="top" wrapText="1"/>
    </xf>
    <xf numFmtId="165" fontId="8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horizontal="center" vertical="top" wrapText="1"/>
    </xf>
    <xf numFmtId="164" fontId="5" fillId="0" borderId="0" xfId="0" applyNumberFormat="1" applyFont="1" applyAlignment="1">
      <alignment horizontal="center" vertical="top" wrapText="1"/>
    </xf>
    <xf numFmtId="164" fontId="6" fillId="0" borderId="0" xfId="0" applyNumberFormat="1" applyFont="1" applyAlignment="1">
      <alignment horizontal="center" vertical="top" wrapText="1"/>
    </xf>
    <xf numFmtId="2" fontId="8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vertical="top" wrapText="1"/>
    </xf>
    <xf numFmtId="4" fontId="10" fillId="0" borderId="0" xfId="0" applyNumberFormat="1" applyFont="1" applyAlignment="1">
      <alignment horizontal="center" vertical="top" wrapText="1"/>
    </xf>
    <xf numFmtId="2" fontId="10" fillId="0" borderId="0" xfId="0" applyNumberFormat="1" applyFont="1" applyAlignment="1">
      <alignment horizontal="center" vertical="top" wrapText="1"/>
    </xf>
    <xf numFmtId="164" fontId="10" fillId="0" borderId="0" xfId="0" applyNumberFormat="1" applyFont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0" fontId="11" fillId="0" borderId="0" xfId="0" applyFont="1"/>
    <xf numFmtId="165" fontId="10" fillId="0" borderId="0" xfId="0" applyNumberFormat="1" applyFont="1" applyAlignment="1">
      <alignment horizontal="center" vertical="top" wrapText="1"/>
    </xf>
    <xf numFmtId="165" fontId="12" fillId="0" borderId="0" xfId="0" applyNumberFormat="1" applyFont="1" applyAlignment="1">
      <alignment horizontal="center" vertical="top" wrapText="1"/>
    </xf>
    <xf numFmtId="4" fontId="13" fillId="0" borderId="0" xfId="0" applyNumberFormat="1" applyFont="1" applyAlignment="1">
      <alignment horizontal="center" vertical="top" wrapText="1"/>
    </xf>
    <xf numFmtId="165" fontId="13" fillId="0" borderId="0" xfId="0" applyNumberFormat="1" applyFont="1" applyAlignment="1">
      <alignment horizontal="center" vertical="top" wrapText="1"/>
    </xf>
    <xf numFmtId="164" fontId="13" fillId="0" borderId="0" xfId="0" applyNumberFormat="1" applyFont="1" applyAlignment="1">
      <alignment horizontal="center" vertical="top" wrapText="1"/>
    </xf>
    <xf numFmtId="4" fontId="5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/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14" fillId="0" borderId="0" xfId="0" applyFont="1" applyAlignment="1">
      <alignment vertical="top" wrapText="1"/>
    </xf>
    <xf numFmtId="4" fontId="14" fillId="0" borderId="0" xfId="0" applyNumberFormat="1" applyFont="1" applyAlignment="1">
      <alignment horizontal="center" vertical="top" wrapText="1"/>
    </xf>
    <xf numFmtId="165" fontId="14" fillId="0" borderId="0" xfId="0" applyNumberFormat="1" applyFont="1" applyAlignment="1">
      <alignment horizontal="center" vertical="top" wrapText="1"/>
    </xf>
    <xf numFmtId="164" fontId="14" fillId="0" borderId="0" xfId="0" applyNumberFormat="1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15" fillId="0" borderId="0" xfId="0" applyFont="1"/>
    <xf numFmtId="0" fontId="16" fillId="0" borderId="0" xfId="0" applyFont="1" applyAlignment="1">
      <alignment vertical="top" wrapText="1"/>
    </xf>
    <xf numFmtId="4" fontId="16" fillId="0" borderId="0" xfId="0" applyNumberFormat="1" applyFont="1" applyAlignment="1">
      <alignment horizontal="center" vertical="top" wrapText="1"/>
    </xf>
    <xf numFmtId="165" fontId="16" fillId="0" borderId="0" xfId="0" applyNumberFormat="1" applyFont="1" applyAlignment="1">
      <alignment horizontal="center" vertical="top" wrapText="1"/>
    </xf>
    <xf numFmtId="16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7" fillId="0" borderId="0" xfId="0" applyFont="1"/>
    <xf numFmtId="0" fontId="12" fillId="0" borderId="0" xfId="0" applyFont="1" applyAlignment="1">
      <alignment vertical="top" wrapText="1"/>
    </xf>
    <xf numFmtId="164" fontId="12" fillId="0" borderId="0" xfId="0" applyNumberFormat="1" applyFont="1" applyAlignment="1">
      <alignment horizontal="center" vertical="top" wrapText="1"/>
    </xf>
    <xf numFmtId="2" fontId="12" fillId="0" borderId="0" xfId="0" applyNumberFormat="1" applyFont="1" applyAlignment="1">
      <alignment horizontal="center" vertical="top" wrapText="1"/>
    </xf>
    <xf numFmtId="0" fontId="18" fillId="0" borderId="0" xfId="0" applyFont="1" applyAlignment="1">
      <alignment horizontal="center" wrapText="1"/>
    </xf>
    <xf numFmtId="0" fontId="18" fillId="0" borderId="0" xfId="0" applyFont="1"/>
    <xf numFmtId="165" fontId="19" fillId="0" borderId="0" xfId="0" applyNumberFormat="1" applyFont="1" applyAlignment="1">
      <alignment horizontal="center" vertical="top" wrapText="1"/>
    </xf>
    <xf numFmtId="4" fontId="20" fillId="0" borderId="0" xfId="0" applyNumberFormat="1" applyFont="1" applyAlignment="1">
      <alignment horizontal="center" vertical="top" wrapText="1"/>
    </xf>
    <xf numFmtId="4" fontId="21" fillId="0" borderId="0" xfId="0" applyNumberFormat="1" applyFont="1" applyAlignment="1">
      <alignment horizontal="center" vertical="top" wrapText="1"/>
    </xf>
    <xf numFmtId="165" fontId="20" fillId="0" borderId="0" xfId="0" applyNumberFormat="1" applyFont="1" applyAlignment="1">
      <alignment horizontal="center" vertical="top" wrapText="1"/>
    </xf>
    <xf numFmtId="164" fontId="21" fillId="0" borderId="0" xfId="0" applyNumberFormat="1" applyFont="1" applyAlignment="1">
      <alignment horizontal="center" vertical="top" wrapText="1"/>
    </xf>
    <xf numFmtId="165" fontId="21" fillId="0" borderId="0" xfId="0" applyNumberFormat="1" applyFont="1" applyAlignment="1">
      <alignment horizontal="center" vertical="top" wrapText="1"/>
    </xf>
    <xf numFmtId="0" fontId="22" fillId="0" borderId="0" xfId="0" applyFont="1" applyAlignment="1">
      <alignment horizontal="left" vertical="top"/>
    </xf>
    <xf numFmtId="165" fontId="22" fillId="0" borderId="0" xfId="0" applyNumberFormat="1" applyFont="1" applyAlignment="1">
      <alignment horizontal="center" vertical="top" wrapText="1"/>
    </xf>
    <xf numFmtId="3" fontId="22" fillId="0" borderId="0" xfId="0" applyNumberFormat="1" applyFont="1" applyAlignment="1">
      <alignment horizontal="center" vertical="top" wrapText="1"/>
    </xf>
    <xf numFmtId="4" fontId="22" fillId="0" borderId="0" xfId="0" applyNumberFormat="1" applyFont="1" applyAlignment="1">
      <alignment horizontal="center" vertical="top" wrapText="1"/>
    </xf>
    <xf numFmtId="165" fontId="22" fillId="0" borderId="1" xfId="0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4" fontId="10" fillId="0" borderId="1" xfId="0" applyNumberFormat="1" applyFont="1" applyBorder="1" applyAlignment="1">
      <alignment horizontal="center" vertical="top" wrapText="1"/>
    </xf>
    <xf numFmtId="4" fontId="22" fillId="0" borderId="1" xfId="0" applyNumberFormat="1" applyFont="1" applyBorder="1" applyAlignment="1">
      <alignment horizontal="center" vertical="top" wrapText="1"/>
    </xf>
    <xf numFmtId="0" fontId="23" fillId="0" borderId="0" xfId="0" applyFont="1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" fontId="23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23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164" fontId="0" fillId="0" borderId="0" xfId="0" applyNumberFormat="1" applyFont="1" applyAlignment="1">
      <alignment horizontal="center"/>
    </xf>
    <xf numFmtId="11" fontId="0" fillId="0" borderId="0" xfId="0" applyNumberFormat="1" applyFont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yan, Peter" id="{A7F7FE71-EBF6-4CDB-B943-E41394B4947C}" userId="S::pryan@middlebury.edu::772fe04a-4716-4dc8-b8d4-cc00d0e2021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46" dT="2023-05-16T02:18:53.70" personId="{A7F7FE71-EBF6-4CDB-B943-E41394B4947C}" id="{DAD757C7-23F2-4FC3-97E3-69CC318A2F87}">
    <text>"Pio" is "PV" in the Appl Geochem ms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A46" dT="2023-05-16T02:18:53.70" personId="{A7F7FE71-EBF6-4CDB-B943-E41394B4947C}" id="{0841958D-F1AC-4DC6-AF7E-40281FDD7583}">
    <text>"Pio" is "PV" in the Appl Geochem ms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M5" dT="2023-05-16T03:18:28.21" personId="{A7F7FE71-EBF6-4CDB-B943-E41394B4947C}" id="{25CF1C03-D804-44CE-B3D8-32E456F5338A}">
    <text>i.e. 4.4 x 10^-6 mol/L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FA62D3-A9FD-4262-98D3-D68CDC2BC39D}">
  <dimension ref="A1:AR75"/>
  <sheetViews>
    <sheetView zoomScale="92" zoomScaleNormal="92" workbookViewId="0">
      <pane ySplit="760" activePane="bottomLeft"/>
      <selection activeCell="J1" sqref="J1:K1048576"/>
      <selection pane="bottomLeft" activeCell="I3" sqref="I3"/>
    </sheetView>
  </sheetViews>
  <sheetFormatPr defaultRowHeight="13.5" customHeight="1"/>
  <cols>
    <col min="1" max="1" width="18.81640625" style="3" customWidth="1"/>
    <col min="2" max="22" width="9.1796875" style="13" customWidth="1"/>
    <col min="23" max="23" width="8.7265625" style="13"/>
    <col min="24" max="16384" width="8.7265625" style="3"/>
  </cols>
  <sheetData>
    <row r="1" spans="1:44" ht="13.5" customHeight="1">
      <c r="A1" s="67" t="s">
        <v>102</v>
      </c>
      <c r="B1" s="1" t="s">
        <v>0</v>
      </c>
      <c r="C1" s="1" t="s">
        <v>5</v>
      </c>
      <c r="D1" s="1" t="s">
        <v>6</v>
      </c>
      <c r="E1" s="1" t="s">
        <v>1</v>
      </c>
      <c r="F1" s="1" t="s">
        <v>11</v>
      </c>
      <c r="G1" s="1" t="s">
        <v>2</v>
      </c>
      <c r="H1" s="1" t="s">
        <v>3</v>
      </c>
      <c r="I1" s="1"/>
      <c r="J1" s="1" t="s">
        <v>4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16</v>
      </c>
      <c r="T1" s="1" t="s">
        <v>17</v>
      </c>
      <c r="U1" s="1" t="s">
        <v>18</v>
      </c>
      <c r="V1" s="1" t="s">
        <v>19</v>
      </c>
      <c r="W1" s="2"/>
    </row>
    <row r="2" spans="1:44" s="6" customFormat="1" ht="13.5" customHeight="1">
      <c r="A2" s="4"/>
      <c r="B2" s="4" t="s">
        <v>63</v>
      </c>
      <c r="C2" s="4" t="s">
        <v>68</v>
      </c>
      <c r="D2" s="4" t="s">
        <v>69</v>
      </c>
      <c r="E2" s="4" t="s">
        <v>64</v>
      </c>
      <c r="F2" s="4" t="s">
        <v>74</v>
      </c>
      <c r="G2" s="4" t="s">
        <v>65</v>
      </c>
      <c r="H2" s="4" t="s">
        <v>66</v>
      </c>
      <c r="I2" s="4" t="s">
        <v>94</v>
      </c>
      <c r="J2" s="4" t="s">
        <v>67</v>
      </c>
      <c r="K2" s="4" t="s">
        <v>70</v>
      </c>
      <c r="L2" s="4" t="s">
        <v>71</v>
      </c>
      <c r="M2" s="4" t="s">
        <v>72</v>
      </c>
      <c r="N2" s="4" t="s">
        <v>73</v>
      </c>
      <c r="O2" s="4" t="s">
        <v>75</v>
      </c>
      <c r="P2" s="4" t="s">
        <v>76</v>
      </c>
      <c r="Q2" s="4" t="s">
        <v>77</v>
      </c>
      <c r="R2" s="4" t="s">
        <v>78</v>
      </c>
      <c r="S2" s="4" t="s">
        <v>79</v>
      </c>
      <c r="T2" s="4" t="s">
        <v>80</v>
      </c>
      <c r="U2" s="4" t="s">
        <v>81</v>
      </c>
      <c r="V2" s="4" t="s">
        <v>82</v>
      </c>
      <c r="W2" s="5"/>
    </row>
    <row r="3" spans="1:44" ht="13.5" customHeight="1">
      <c r="A3" s="7" t="s">
        <v>83</v>
      </c>
      <c r="B3" s="14">
        <v>279.51100000000002</v>
      </c>
      <c r="C3" s="14">
        <v>274.05799999999999</v>
      </c>
      <c r="D3" s="14">
        <v>1747.104</v>
      </c>
      <c r="E3" s="14">
        <v>1489.797</v>
      </c>
      <c r="F3" s="18">
        <v>1410.1949999999999</v>
      </c>
      <c r="G3" s="14">
        <v>1677.472</v>
      </c>
      <c r="H3" s="14">
        <v>1485.1890000000001</v>
      </c>
      <c r="I3" s="14">
        <f>H3*(4.032+28.08+64)/28</f>
        <v>5098.0173274285717</v>
      </c>
      <c r="J3" s="14">
        <v>296.58699999999999</v>
      </c>
      <c r="K3" s="19">
        <v>324.089</v>
      </c>
      <c r="L3" s="19">
        <v>15.164</v>
      </c>
      <c r="M3" s="19">
        <v>13.845000000000001</v>
      </c>
      <c r="N3" s="18">
        <v>316.75299999999999</v>
      </c>
      <c r="O3" s="19">
        <v>15.327999999999999</v>
      </c>
      <c r="P3" s="19">
        <v>14.952</v>
      </c>
      <c r="Q3" s="18">
        <v>13.407</v>
      </c>
      <c r="R3" s="19">
        <v>12.420999999999999</v>
      </c>
      <c r="S3" s="18">
        <v>14.436</v>
      </c>
      <c r="T3" s="18">
        <v>15.289</v>
      </c>
      <c r="U3" s="19">
        <v>16.859000000000002</v>
      </c>
      <c r="V3" s="19">
        <v>16.14</v>
      </c>
      <c r="W3" s="2"/>
    </row>
    <row r="4" spans="1:44" s="8" customFormat="1" ht="12" collapsed="1">
      <c r="A4" s="9" t="s">
        <v>85</v>
      </c>
      <c r="B4" s="16">
        <v>18830</v>
      </c>
      <c r="C4" s="16">
        <v>1932.6</v>
      </c>
      <c r="D4" s="16">
        <v>29430</v>
      </c>
      <c r="E4" s="16">
        <v>7454</v>
      </c>
      <c r="F4" s="21">
        <v>93.44</v>
      </c>
      <c r="G4" s="16">
        <v>133.80000000000001</v>
      </c>
      <c r="H4" s="16" t="s">
        <v>86</v>
      </c>
      <c r="I4" s="16"/>
      <c r="J4" s="16" t="s">
        <v>86</v>
      </c>
      <c r="K4" s="10"/>
      <c r="L4" s="11">
        <v>36.07</v>
      </c>
      <c r="M4" s="11">
        <v>18.5</v>
      </c>
      <c r="N4" s="21">
        <v>37.14</v>
      </c>
      <c r="O4" s="11">
        <v>25.3</v>
      </c>
      <c r="P4" s="11">
        <v>59.8</v>
      </c>
      <c r="Q4" s="21">
        <v>21.66</v>
      </c>
      <c r="R4" s="11">
        <v>74.400000000000006</v>
      </c>
      <c r="S4" s="21">
        <v>57.42</v>
      </c>
      <c r="T4" s="21">
        <v>12.64</v>
      </c>
      <c r="U4" s="11">
        <v>314</v>
      </c>
      <c r="V4" s="11">
        <v>518</v>
      </c>
      <c r="X4" s="10"/>
      <c r="Y4" s="10"/>
      <c r="AA4" s="10"/>
      <c r="AB4" s="10"/>
      <c r="AC4" s="10"/>
      <c r="AD4" s="10"/>
      <c r="AE4" s="10"/>
      <c r="AO4" s="12">
        <v>18.488</v>
      </c>
      <c r="AR4" s="12"/>
    </row>
    <row r="5" spans="1:44" s="28" customFormat="1" ht="13.5" customHeight="1">
      <c r="A5" s="23" t="s">
        <v>84</v>
      </c>
      <c r="B5" s="24">
        <f>B$4/B6</f>
        <v>0.94013431388892921</v>
      </c>
      <c r="C5" s="24">
        <f>C$4/C6</f>
        <v>0.92011527388498027</v>
      </c>
      <c r="D5" s="24">
        <f>D4/D6</f>
        <v>0.91568654499462765</v>
      </c>
      <c r="E5" s="24">
        <f>E4/E6</f>
        <v>0.93139176344298569</v>
      </c>
      <c r="F5" s="24">
        <f>F4/F6</f>
        <v>1.0618664484749307</v>
      </c>
      <c r="G5" s="24">
        <f>1500/G3</f>
        <v>0.8942027050227962</v>
      </c>
      <c r="H5" s="24">
        <f>1500/H3</f>
        <v>1.0099724681505182</v>
      </c>
      <c r="I5" s="24"/>
      <c r="J5" s="24">
        <f>250/J3</f>
        <v>0.84292298718419889</v>
      </c>
      <c r="K5" s="26">
        <v>1</v>
      </c>
      <c r="L5" s="25">
        <f t="shared" ref="L5:V5" si="0">L4/L6</f>
        <v>1.1227666064869577</v>
      </c>
      <c r="M5" s="25">
        <f t="shared" si="0"/>
        <v>1.1328148919233361</v>
      </c>
      <c r="N5" s="25">
        <f t="shared" si="0"/>
        <v>1.0850448450144614</v>
      </c>
      <c r="O5" s="25">
        <f t="shared" si="0"/>
        <v>0.98210473195916315</v>
      </c>
      <c r="P5" s="25">
        <f t="shared" si="0"/>
        <v>1.0735315237684906</v>
      </c>
      <c r="Q5" s="25">
        <f t="shared" si="0"/>
        <v>1.1893257193059521</v>
      </c>
      <c r="R5" s="25">
        <f t="shared" si="0"/>
        <v>1.0667584308327598</v>
      </c>
      <c r="S5" s="25">
        <f t="shared" si="0"/>
        <v>1.1331925558998244</v>
      </c>
      <c r="T5" s="25">
        <f t="shared" si="0"/>
        <v>1.0469643005052598</v>
      </c>
      <c r="U5" s="25">
        <f t="shared" si="0"/>
        <v>1.0331020369218822</v>
      </c>
      <c r="V5" s="25">
        <f t="shared" si="0"/>
        <v>1.0705244122965643</v>
      </c>
      <c r="W5" s="27"/>
    </row>
    <row r="6" spans="1:44" ht="13.5" customHeight="1">
      <c r="A6" s="7" t="s">
        <v>20</v>
      </c>
      <c r="B6" s="14">
        <v>20029.053</v>
      </c>
      <c r="C6" s="14">
        <v>2100.3890000000001</v>
      </c>
      <c r="D6" s="14">
        <v>32139.819200000002</v>
      </c>
      <c r="E6" s="14">
        <v>8003.0770000000002</v>
      </c>
      <c r="F6" s="18">
        <v>87.995999999999995</v>
      </c>
      <c r="G6" s="17">
        <v>22.245000000000001</v>
      </c>
      <c r="H6" s="17">
        <v>35.765000000000001</v>
      </c>
      <c r="I6" s="17"/>
      <c r="J6" s="14">
        <v>0.82499999999999996</v>
      </c>
      <c r="K6" s="19">
        <v>36.802</v>
      </c>
      <c r="L6" s="19">
        <v>32.125999999999998</v>
      </c>
      <c r="M6" s="19">
        <v>16.331</v>
      </c>
      <c r="N6" s="18">
        <v>34.228999999999999</v>
      </c>
      <c r="O6" s="19">
        <v>25.760999999999999</v>
      </c>
      <c r="P6" s="19">
        <v>55.704000000000001</v>
      </c>
      <c r="Q6" s="18">
        <v>18.212</v>
      </c>
      <c r="R6" s="19">
        <v>69.744</v>
      </c>
      <c r="S6" s="18">
        <v>50.670999999999999</v>
      </c>
      <c r="T6" s="18">
        <v>12.073</v>
      </c>
      <c r="U6" s="19">
        <v>303.93900000000002</v>
      </c>
      <c r="V6" s="19">
        <v>483.875</v>
      </c>
      <c r="W6" s="2"/>
    </row>
    <row r="7" spans="1:44" ht="13.5" customHeight="1">
      <c r="A7" s="7" t="s">
        <v>21</v>
      </c>
      <c r="B7" s="14">
        <v>106.517</v>
      </c>
      <c r="C7" s="68">
        <v>49.079700000000003</v>
      </c>
      <c r="D7" s="69">
        <v>49.218400000000003</v>
      </c>
      <c r="E7" s="14">
        <v>38.530999999999999</v>
      </c>
      <c r="F7" s="18">
        <v>60.052999999999997</v>
      </c>
      <c r="G7" s="14">
        <v>3046.1170000000002</v>
      </c>
      <c r="H7" s="14">
        <v>1349.53</v>
      </c>
      <c r="I7" s="14">
        <f t="shared" ref="I7:I12" si="1">H7*(4.032+28.08+64)/28</f>
        <v>4632.3581199999999</v>
      </c>
      <c r="J7" s="14">
        <v>-3.2000000000000001E-2</v>
      </c>
      <c r="K7" s="19">
        <v>5.024</v>
      </c>
      <c r="L7" s="19">
        <v>1.335</v>
      </c>
      <c r="M7" s="19">
        <v>0.38600000000000001</v>
      </c>
      <c r="N7" s="18">
        <v>2.3319999999999999</v>
      </c>
      <c r="O7" s="19">
        <v>0.14299999999999999</v>
      </c>
      <c r="P7" s="19">
        <v>0.377</v>
      </c>
      <c r="Q7" s="18">
        <v>0.80400000000000005</v>
      </c>
      <c r="R7" s="19">
        <v>5.5970000000000004</v>
      </c>
      <c r="S7" s="18">
        <v>7.0999999999999994E-2</v>
      </c>
      <c r="T7" s="18">
        <v>7.8E-2</v>
      </c>
      <c r="U7" s="19">
        <v>-2.0030000000000001</v>
      </c>
      <c r="V7" s="19">
        <v>0.64800000000000002</v>
      </c>
      <c r="W7" s="2"/>
    </row>
    <row r="8" spans="1:44" ht="13.5" customHeight="1">
      <c r="A8" s="7" t="s">
        <v>22</v>
      </c>
      <c r="B8" s="14">
        <v>227.91</v>
      </c>
      <c r="C8" s="68">
        <v>174.18600000000001</v>
      </c>
      <c r="D8" s="68">
        <v>-11.80425</v>
      </c>
      <c r="E8" s="14">
        <v>62.512</v>
      </c>
      <c r="F8" s="18">
        <v>672.96</v>
      </c>
      <c r="G8" s="14">
        <v>7861.9040000000005</v>
      </c>
      <c r="H8" s="14">
        <v>4795.0820000000003</v>
      </c>
      <c r="I8" s="14">
        <f t="shared" si="1"/>
        <v>16459.461470857143</v>
      </c>
      <c r="J8" s="15">
        <v>20.085000000000001</v>
      </c>
      <c r="K8" s="19">
        <v>7.1870000000000003</v>
      </c>
      <c r="L8" s="19">
        <v>4.508</v>
      </c>
      <c r="M8" s="19">
        <v>3.0950000000000002</v>
      </c>
      <c r="N8" s="18">
        <v>13.616</v>
      </c>
      <c r="O8" s="19">
        <v>1.78</v>
      </c>
      <c r="P8" s="19">
        <v>5.6849999999999996</v>
      </c>
      <c r="Q8" s="18">
        <v>30.731999999999999</v>
      </c>
      <c r="R8" s="19">
        <v>20.927</v>
      </c>
      <c r="S8" s="18">
        <v>0.34699999999999998</v>
      </c>
      <c r="T8" s="18">
        <v>0.253</v>
      </c>
      <c r="U8" s="19">
        <v>-0.27500000000000002</v>
      </c>
      <c r="V8" s="19">
        <v>13.919</v>
      </c>
      <c r="W8" s="2"/>
    </row>
    <row r="9" spans="1:44" ht="13.5" customHeight="1">
      <c r="A9" s="7" t="s">
        <v>23</v>
      </c>
      <c r="B9" s="14">
        <v>143.31399999999999</v>
      </c>
      <c r="C9" s="68">
        <v>88.112700000000004</v>
      </c>
      <c r="D9" s="68">
        <v>-15.2056</v>
      </c>
      <c r="E9" s="14">
        <v>20.603999999999999</v>
      </c>
      <c r="F9" s="18">
        <v>171.84200000000001</v>
      </c>
      <c r="G9" s="14">
        <v>4651.83</v>
      </c>
      <c r="H9" s="14">
        <v>1917.3209999999999</v>
      </c>
      <c r="I9" s="14">
        <f t="shared" si="1"/>
        <v>6581.3412840000001</v>
      </c>
      <c r="J9" s="14">
        <v>18.308</v>
      </c>
      <c r="K9" s="19">
        <v>10.505000000000001</v>
      </c>
      <c r="L9" s="19">
        <v>1.0609999999999999</v>
      </c>
      <c r="M9" s="19">
        <v>0.50900000000000001</v>
      </c>
      <c r="N9" s="18">
        <v>1.181</v>
      </c>
      <c r="O9" s="19">
        <v>0.126</v>
      </c>
      <c r="P9" s="19">
        <v>0.57999999999999996</v>
      </c>
      <c r="Q9" s="18">
        <v>3.0139999999999998</v>
      </c>
      <c r="R9" s="19">
        <v>7.8250000000000002</v>
      </c>
      <c r="S9" s="18">
        <v>0.78800000000000003</v>
      </c>
      <c r="T9" s="18">
        <v>9.2999999999999999E-2</v>
      </c>
      <c r="U9" s="19">
        <v>-1.774</v>
      </c>
      <c r="V9" s="19">
        <v>1.5109999999999999</v>
      </c>
      <c r="W9" s="2"/>
    </row>
    <row r="10" spans="1:44" ht="13.5" customHeight="1">
      <c r="A10" s="7" t="s">
        <v>24</v>
      </c>
      <c r="B10" s="14">
        <v>417.697</v>
      </c>
      <c r="C10" s="68">
        <v>89.6571</v>
      </c>
      <c r="D10" s="68">
        <v>114.17175</v>
      </c>
      <c r="E10" s="14">
        <v>62.456000000000003</v>
      </c>
      <c r="F10" s="18">
        <v>388.74900000000002</v>
      </c>
      <c r="G10" s="14">
        <v>6279.6629999999996</v>
      </c>
      <c r="H10" s="14">
        <v>2893.616</v>
      </c>
      <c r="I10" s="14">
        <f t="shared" si="1"/>
        <v>9932.5436068571416</v>
      </c>
      <c r="J10" s="15">
        <v>17.039000000000001</v>
      </c>
      <c r="K10" s="19">
        <v>39.017000000000003</v>
      </c>
      <c r="L10" s="19">
        <v>3.5110000000000001</v>
      </c>
      <c r="M10" s="19">
        <v>1.3320000000000001</v>
      </c>
      <c r="N10" s="18">
        <v>2.92</v>
      </c>
      <c r="O10" s="19">
        <v>0.184</v>
      </c>
      <c r="P10" s="19">
        <v>1.0940000000000001</v>
      </c>
      <c r="Q10" s="18">
        <v>9.9160000000000004</v>
      </c>
      <c r="R10" s="19">
        <v>14.387</v>
      </c>
      <c r="S10" s="18">
        <v>0.16700000000000001</v>
      </c>
      <c r="T10" s="18">
        <v>0.107</v>
      </c>
      <c r="U10" s="19">
        <v>0.95199999999999996</v>
      </c>
      <c r="V10" s="19">
        <v>2.6179999999999999</v>
      </c>
      <c r="W10" s="2"/>
    </row>
    <row r="11" spans="1:44" ht="13.5" customHeight="1">
      <c r="A11" s="7" t="s">
        <v>25</v>
      </c>
      <c r="B11" s="14">
        <v>767.42200000000003</v>
      </c>
      <c r="C11" s="68">
        <v>99.340199999999996</v>
      </c>
      <c r="D11" s="68">
        <v>-5.6850000000000005</v>
      </c>
      <c r="E11" s="14">
        <v>126.44499999999999</v>
      </c>
      <c r="F11" s="18">
        <v>198.839</v>
      </c>
      <c r="G11" s="14">
        <v>129.983</v>
      </c>
      <c r="H11" s="14">
        <v>406.11399999999998</v>
      </c>
      <c r="I11" s="14">
        <f t="shared" si="1"/>
        <v>1394.0153131428572</v>
      </c>
      <c r="J11" s="17">
        <v>16.5</v>
      </c>
      <c r="K11" s="19">
        <v>14.321999999999999</v>
      </c>
      <c r="L11" s="19">
        <v>0.96599999999999997</v>
      </c>
      <c r="M11" s="19">
        <v>1.3140000000000001</v>
      </c>
      <c r="N11" s="18">
        <v>4.0149999999999997</v>
      </c>
      <c r="O11" s="19">
        <v>0.28100000000000003</v>
      </c>
      <c r="P11" s="19">
        <v>3.008</v>
      </c>
      <c r="Q11" s="18">
        <v>33.97</v>
      </c>
      <c r="R11" s="19">
        <v>16.928999999999998</v>
      </c>
      <c r="S11" s="18">
        <v>0.24399999999999999</v>
      </c>
      <c r="T11" s="18">
        <v>0.13700000000000001</v>
      </c>
      <c r="U11" s="19">
        <v>-1.26</v>
      </c>
      <c r="V11" s="19">
        <v>1.6659999999999999</v>
      </c>
      <c r="W11" s="2"/>
    </row>
    <row r="12" spans="1:44" ht="13.5" customHeight="1">
      <c r="A12" s="7" t="s">
        <v>26</v>
      </c>
      <c r="B12" s="14">
        <v>380.18797499999999</v>
      </c>
      <c r="C12" s="68">
        <v>69.76746</v>
      </c>
      <c r="D12" s="68">
        <v>71.599424999999997</v>
      </c>
      <c r="E12" s="14">
        <v>30.059305000000002</v>
      </c>
      <c r="F12" s="18">
        <v>668.72500000000002</v>
      </c>
      <c r="G12" s="15">
        <v>11490.592500000001</v>
      </c>
      <c r="H12" s="15">
        <v>3737.46</v>
      </c>
      <c r="I12" s="14">
        <f t="shared" si="1"/>
        <v>12829.098411428571</v>
      </c>
      <c r="J12" s="14">
        <v>72.156999999999996</v>
      </c>
      <c r="K12" s="19">
        <v>11.172000000000001</v>
      </c>
      <c r="L12" s="19">
        <v>2.093</v>
      </c>
      <c r="M12" s="19">
        <v>105.907</v>
      </c>
      <c r="N12" s="18">
        <v>6.194</v>
      </c>
      <c r="O12" s="19">
        <v>0.67500000000000004</v>
      </c>
      <c r="P12" s="19">
        <v>6.2839999999999998</v>
      </c>
      <c r="Q12" s="18">
        <v>158.04300000000001</v>
      </c>
      <c r="R12" s="19">
        <v>79.72</v>
      </c>
      <c r="S12" s="18">
        <v>0.41799999999999998</v>
      </c>
      <c r="T12" s="18">
        <v>0.73899999999999999</v>
      </c>
      <c r="U12" s="19">
        <v>1.157</v>
      </c>
      <c r="V12" s="19">
        <v>5.46</v>
      </c>
      <c r="W12" s="2"/>
    </row>
    <row r="13" spans="1:44" s="60" customFormat="1" ht="13.5" customHeight="1">
      <c r="A13" s="56" t="s">
        <v>95</v>
      </c>
      <c r="B13" s="30">
        <f>SUM(B7:B12)</f>
        <v>2043.0479750000002</v>
      </c>
      <c r="C13" s="30">
        <f t="shared" ref="C13:I13" si="2">SUM(C7:C12)</f>
        <v>570.14315999999997</v>
      </c>
      <c r="D13" s="30">
        <f t="shared" si="2"/>
        <v>202.294725</v>
      </c>
      <c r="E13" s="30">
        <f t="shared" si="2"/>
        <v>340.607305</v>
      </c>
      <c r="F13" s="30">
        <f t="shared" si="2"/>
        <v>2161.1680000000001</v>
      </c>
      <c r="G13" s="30">
        <f t="shared" si="2"/>
        <v>33460.089500000002</v>
      </c>
      <c r="H13" s="30">
        <f t="shared" si="2"/>
        <v>15099.123</v>
      </c>
      <c r="I13" s="30">
        <f t="shared" si="2"/>
        <v>51828.818206285723</v>
      </c>
      <c r="J13" s="30"/>
      <c r="K13" s="57"/>
      <c r="L13" s="57"/>
      <c r="M13" s="57"/>
      <c r="N13" s="58"/>
      <c r="O13" s="57"/>
      <c r="P13" s="57"/>
      <c r="Q13" s="58"/>
      <c r="R13" s="57"/>
      <c r="S13" s="58"/>
      <c r="T13" s="58"/>
      <c r="U13" s="57"/>
      <c r="V13" s="57"/>
      <c r="W13" s="59"/>
    </row>
    <row r="14" spans="1:44" ht="13.5" customHeight="1">
      <c r="A14" s="7" t="s">
        <v>20</v>
      </c>
      <c r="B14" s="14">
        <v>21165.830999999998</v>
      </c>
      <c r="C14" s="14">
        <v>2262.1480000000001</v>
      </c>
      <c r="D14" s="14">
        <v>33954.154399999999</v>
      </c>
      <c r="E14" s="14">
        <v>8326.5879999999997</v>
      </c>
      <c r="F14" s="18">
        <v>89.058000000000007</v>
      </c>
      <c r="G14" s="17">
        <v>32.295000000000002</v>
      </c>
      <c r="H14" s="15">
        <v>42.478999999999999</v>
      </c>
      <c r="I14" s="15"/>
      <c r="J14" s="14">
        <v>2.5379999999999998</v>
      </c>
      <c r="K14" s="19">
        <v>38.932000000000002</v>
      </c>
      <c r="L14" s="19">
        <v>33.435000000000002</v>
      </c>
      <c r="M14" s="19">
        <v>16.701000000000001</v>
      </c>
      <c r="N14" s="18">
        <v>35.241999999999997</v>
      </c>
      <c r="O14" s="19">
        <v>26.875</v>
      </c>
      <c r="P14" s="19">
        <v>57.927</v>
      </c>
      <c r="Q14" s="18">
        <v>18.992999999999999</v>
      </c>
      <c r="R14" s="19">
        <v>72.081999999999994</v>
      </c>
      <c r="S14" s="18">
        <v>53.33</v>
      </c>
      <c r="T14" s="18">
        <v>12.356</v>
      </c>
      <c r="U14" s="19">
        <v>317.00799999999998</v>
      </c>
      <c r="V14" s="19">
        <v>512.53099999999995</v>
      </c>
      <c r="W14" s="2"/>
    </row>
    <row r="15" spans="1:44" s="28" customFormat="1" ht="13.5" customHeight="1">
      <c r="A15" s="23" t="s">
        <v>87</v>
      </c>
      <c r="B15" s="24">
        <f>B$4/B14</f>
        <v>0.8896414225361623</v>
      </c>
      <c r="C15" s="70">
        <f>C$4/C14</f>
        <v>0.85432076062220497</v>
      </c>
      <c r="D15" s="70">
        <f>D$4/D14</f>
        <v>0.8667569703929956</v>
      </c>
      <c r="E15" s="24">
        <f>E$4/E14</f>
        <v>0.89520461442309862</v>
      </c>
      <c r="F15" s="24">
        <f>F$4/F14</f>
        <v>1.0492038896000357</v>
      </c>
      <c r="G15" s="24">
        <v>0.9</v>
      </c>
      <c r="H15" s="24">
        <v>1</v>
      </c>
      <c r="I15" s="24"/>
      <c r="J15" s="24">
        <v>0.85</v>
      </c>
      <c r="K15" s="26">
        <v>1</v>
      </c>
      <c r="L15" s="24">
        <f t="shared" ref="L15" si="3">L$4/L14</f>
        <v>1.0788096306265889</v>
      </c>
      <c r="M15" s="24">
        <f t="shared" ref="M15" si="4">M$4/M14</f>
        <v>1.1077181007125321</v>
      </c>
      <c r="N15" s="24">
        <f t="shared" ref="N15" si="5">N$4/N14</f>
        <v>1.0538561943136031</v>
      </c>
      <c r="O15" s="24">
        <f t="shared" ref="O15" si="6">O$4/O14</f>
        <v>0.94139534883720932</v>
      </c>
      <c r="P15" s="24">
        <f t="shared" ref="P15" si="7">P$4/P14</f>
        <v>1.0323337994372226</v>
      </c>
      <c r="Q15" s="24">
        <f t="shared" ref="Q15" si="8">Q$4/Q14</f>
        <v>1.1404201547938715</v>
      </c>
      <c r="R15" s="24">
        <f t="shared" ref="R15" si="9">R$4/R14</f>
        <v>1.0321578202602593</v>
      </c>
      <c r="S15" s="24">
        <f t="shared" ref="S15" si="10">S$4/S14</f>
        <v>1.0766922932683294</v>
      </c>
      <c r="T15" s="24">
        <f t="shared" ref="T15" si="11">T$4/T14</f>
        <v>1.0229847847199742</v>
      </c>
      <c r="U15" s="24">
        <f t="shared" ref="U15" si="12">U$4/U14</f>
        <v>0.99051128047241721</v>
      </c>
      <c r="V15" s="24">
        <f t="shared" ref="V15" si="13">V$4/V14</f>
        <v>1.0106705740725928</v>
      </c>
      <c r="W15" s="27"/>
    </row>
    <row r="16" spans="1:44" ht="13.5" customHeight="1">
      <c r="A16" s="7" t="s">
        <v>27</v>
      </c>
      <c r="B16" s="14">
        <v>279.15499999999997</v>
      </c>
      <c r="C16" s="70">
        <v>153.47534999999999</v>
      </c>
      <c r="D16" s="68">
        <v>1920.8335999999999</v>
      </c>
      <c r="E16" s="14">
        <v>11845.550999999999</v>
      </c>
      <c r="F16" s="18">
        <v>3562.4180000000001</v>
      </c>
      <c r="G16" s="14">
        <v>10039.987999999999</v>
      </c>
      <c r="H16" s="14">
        <v>14499.081</v>
      </c>
      <c r="I16" s="14">
        <f>H16*(4.032+28.08+64)/28</f>
        <v>49769.13118114286</v>
      </c>
      <c r="J16" s="14">
        <v>1348.8</v>
      </c>
      <c r="K16" s="19">
        <v>17.085000000000001</v>
      </c>
      <c r="L16" s="19">
        <v>23.577000000000002</v>
      </c>
      <c r="M16" s="19">
        <v>31.216000000000001</v>
      </c>
      <c r="N16" s="18">
        <v>370.21800000000002</v>
      </c>
      <c r="O16" s="19">
        <v>12.738</v>
      </c>
      <c r="P16" s="19">
        <v>34.148000000000003</v>
      </c>
      <c r="Q16" s="24">
        <v>734.8463999999999</v>
      </c>
      <c r="R16" s="24">
        <v>23.938200000000002</v>
      </c>
      <c r="S16" s="24">
        <v>0.26400000000000001</v>
      </c>
      <c r="T16" s="24">
        <v>0.33110000000000001</v>
      </c>
      <c r="U16" s="24">
        <v>11.548950000000001</v>
      </c>
      <c r="V16" s="19">
        <v>-0.436</v>
      </c>
      <c r="W16" s="2"/>
    </row>
    <row r="17" spans="1:23" ht="13.5" customHeight="1">
      <c r="A17" s="7" t="s">
        <v>28</v>
      </c>
      <c r="B17" s="14">
        <v>949.88499999999999</v>
      </c>
      <c r="C17" s="70">
        <v>619.78379999999993</v>
      </c>
      <c r="D17" s="68">
        <v>4385.5936000000002</v>
      </c>
      <c r="E17" s="14">
        <v>13237.422</v>
      </c>
      <c r="F17" s="18">
        <v>12830.498</v>
      </c>
      <c r="G17" s="14">
        <v>24725.159</v>
      </c>
      <c r="H17" s="14">
        <v>22064.519</v>
      </c>
      <c r="I17" s="14">
        <f t="shared" ref="I17:I22" si="14">H17*(4.032+28.08+64)/28</f>
        <v>75738.037504571417</v>
      </c>
      <c r="J17" s="14">
        <v>11997.151</v>
      </c>
      <c r="K17" s="19">
        <v>465</v>
      </c>
      <c r="L17" s="19">
        <v>29.876000000000001</v>
      </c>
      <c r="M17" s="19">
        <v>42.374000000000002</v>
      </c>
      <c r="N17" s="18">
        <v>527.02800000000002</v>
      </c>
      <c r="O17" s="19">
        <v>13.826000000000001</v>
      </c>
      <c r="P17" s="19">
        <v>36.377000000000002</v>
      </c>
      <c r="Q17" s="24">
        <v>1156.8755999999998</v>
      </c>
      <c r="R17" s="24">
        <v>76.146400000000014</v>
      </c>
      <c r="S17" s="24">
        <v>1.4146000000000001</v>
      </c>
      <c r="T17" s="24">
        <v>1.4333</v>
      </c>
      <c r="U17" s="24">
        <v>37.921800000000005</v>
      </c>
      <c r="V17" s="24">
        <v>18.55875</v>
      </c>
      <c r="W17" s="2"/>
    </row>
    <row r="18" spans="1:23" ht="13.5" customHeight="1">
      <c r="A18" s="7" t="s">
        <v>29</v>
      </c>
      <c r="B18" s="14">
        <v>603.36400000000003</v>
      </c>
      <c r="C18" s="70">
        <v>422.0204</v>
      </c>
      <c r="D18" s="68">
        <v>2146.84</v>
      </c>
      <c r="E18" s="14">
        <v>18026.382000000001</v>
      </c>
      <c r="F18" s="18">
        <v>18701.811000000002</v>
      </c>
      <c r="G18" s="14">
        <v>17519.198</v>
      </c>
      <c r="H18" s="14">
        <v>20760.091</v>
      </c>
      <c r="I18" s="14">
        <f t="shared" si="14"/>
        <v>71260.495221142861</v>
      </c>
      <c r="J18" s="14">
        <v>15090.468000000001</v>
      </c>
      <c r="K18" s="19">
        <v>835.59699999999998</v>
      </c>
      <c r="L18" s="19">
        <v>39.308</v>
      </c>
      <c r="M18" s="19">
        <v>52.284999999999997</v>
      </c>
      <c r="N18" s="18">
        <v>779.95</v>
      </c>
      <c r="O18" s="19">
        <v>20.446000000000002</v>
      </c>
      <c r="P18" s="19">
        <v>47.003999999999998</v>
      </c>
      <c r="Q18" s="24">
        <v>1456.1279999999999</v>
      </c>
      <c r="R18" s="24">
        <v>68.536600000000007</v>
      </c>
      <c r="S18" s="24">
        <v>1.0593000000000001</v>
      </c>
      <c r="T18" s="24">
        <v>1.4322000000000001</v>
      </c>
      <c r="U18" s="24">
        <v>44.646000000000008</v>
      </c>
      <c r="V18" s="24">
        <v>13.87785</v>
      </c>
      <c r="W18" s="2"/>
    </row>
    <row r="19" spans="1:23" ht="13.5" customHeight="1">
      <c r="A19" s="7" t="s">
        <v>30</v>
      </c>
      <c r="B19" s="14">
        <v>1078.4639999999999</v>
      </c>
      <c r="C19" s="70">
        <v>557.21015</v>
      </c>
      <c r="D19" s="68">
        <v>1873.9464</v>
      </c>
      <c r="E19" s="14">
        <v>10994.142</v>
      </c>
      <c r="F19" s="18">
        <v>9803.4560000000001</v>
      </c>
      <c r="G19" s="14">
        <v>8841.3559999999998</v>
      </c>
      <c r="H19" s="14">
        <v>11152.456</v>
      </c>
      <c r="I19" s="14">
        <f t="shared" si="14"/>
        <v>38281.601823999998</v>
      </c>
      <c r="J19" s="14">
        <v>7518.0659999999998</v>
      </c>
      <c r="K19" s="19">
        <v>498.27499999999998</v>
      </c>
      <c r="L19" s="19">
        <v>22.254000000000001</v>
      </c>
      <c r="M19" s="19">
        <v>21.459</v>
      </c>
      <c r="N19" s="18">
        <v>538.30200000000002</v>
      </c>
      <c r="O19" s="19">
        <v>10.067</v>
      </c>
      <c r="P19" s="19">
        <v>21.57</v>
      </c>
      <c r="Q19" s="24">
        <v>899.95920000000001</v>
      </c>
      <c r="R19" s="24">
        <v>46.224200000000003</v>
      </c>
      <c r="S19" s="24">
        <v>0.78870000000000007</v>
      </c>
      <c r="T19" s="24">
        <v>1.2397</v>
      </c>
      <c r="U19" s="24">
        <v>40.505850000000002</v>
      </c>
      <c r="V19" s="24">
        <v>11.471250000000001</v>
      </c>
      <c r="W19" s="2"/>
    </row>
    <row r="20" spans="1:23" ht="13.5" customHeight="1">
      <c r="A20" s="7" t="s">
        <v>31</v>
      </c>
      <c r="B20" s="14">
        <v>2995.723</v>
      </c>
      <c r="C20" s="70">
        <v>1089.4239</v>
      </c>
      <c r="D20" s="68">
        <v>2109.5984000000003</v>
      </c>
      <c r="E20" s="14">
        <v>10887.804</v>
      </c>
      <c r="F20" s="18">
        <v>6275.0339999999997</v>
      </c>
      <c r="G20" s="14">
        <v>8629.0370000000003</v>
      </c>
      <c r="H20" s="14">
        <v>8642.4290000000001</v>
      </c>
      <c r="I20" s="14">
        <f t="shared" si="14"/>
        <v>29665.754858857141</v>
      </c>
      <c r="J20" s="14">
        <v>4725.68</v>
      </c>
      <c r="K20" s="19">
        <v>436.61500000000001</v>
      </c>
      <c r="L20" s="19">
        <v>17.878</v>
      </c>
      <c r="M20" s="19">
        <v>12.368</v>
      </c>
      <c r="N20" s="18">
        <v>443.58</v>
      </c>
      <c r="O20" s="19">
        <v>6.1029999999999998</v>
      </c>
      <c r="P20" s="19">
        <v>12.456</v>
      </c>
      <c r="Q20" s="24">
        <v>594.89880000000005</v>
      </c>
      <c r="R20" s="24">
        <v>46.818200000000004</v>
      </c>
      <c r="S20" s="24">
        <v>0.62919999999999998</v>
      </c>
      <c r="T20" s="24">
        <v>1.2551000000000001</v>
      </c>
      <c r="U20" s="24">
        <v>68.087249999999997</v>
      </c>
      <c r="V20" s="24">
        <v>12.601050000000001</v>
      </c>
      <c r="W20" s="2"/>
    </row>
    <row r="21" spans="1:23" ht="13.5" customHeight="1">
      <c r="A21" s="7" t="s">
        <v>32</v>
      </c>
      <c r="B21" s="14">
        <v>7674.6490000000003</v>
      </c>
      <c r="C21" s="70">
        <v>3040.4274999999998</v>
      </c>
      <c r="D21" s="68">
        <v>1921.1968000000002</v>
      </c>
      <c r="E21" s="14">
        <v>12352.933000000001</v>
      </c>
      <c r="F21" s="18">
        <v>12138.197</v>
      </c>
      <c r="G21" s="14">
        <v>19895.18</v>
      </c>
      <c r="H21" s="14">
        <v>14461.548000000001</v>
      </c>
      <c r="I21" s="14">
        <f t="shared" si="14"/>
        <v>49640.296477714284</v>
      </c>
      <c r="J21" s="14">
        <v>4615.2269999999999</v>
      </c>
      <c r="K21" s="19">
        <v>889.87</v>
      </c>
      <c r="L21" s="19">
        <v>28.742000000000001</v>
      </c>
      <c r="M21" s="19">
        <v>23.446999999999999</v>
      </c>
      <c r="N21" s="18">
        <v>542.37800000000004</v>
      </c>
      <c r="O21" s="19">
        <v>12.471</v>
      </c>
      <c r="P21" s="19">
        <v>28.568000000000001</v>
      </c>
      <c r="Q21" s="24">
        <v>1019.3303999999999</v>
      </c>
      <c r="R21" s="24">
        <v>165.80520000000001</v>
      </c>
      <c r="S21" s="24">
        <v>1.0395000000000001</v>
      </c>
      <c r="T21" s="24">
        <v>1.3805000000000001</v>
      </c>
      <c r="U21" s="24">
        <v>38.311350000000004</v>
      </c>
      <c r="V21" s="24">
        <v>22.89105</v>
      </c>
      <c r="W21" s="2"/>
    </row>
    <row r="22" spans="1:23" s="60" customFormat="1" ht="13.5" customHeight="1">
      <c r="A22" s="56" t="s">
        <v>96</v>
      </c>
      <c r="B22" s="30">
        <f>SUM(B16:B21)</f>
        <v>13581.240000000002</v>
      </c>
      <c r="C22" s="30">
        <f t="shared" ref="C22:H22" si="15">SUM(C16:C21)</f>
        <v>5882.3410999999996</v>
      </c>
      <c r="D22" s="30">
        <f t="shared" si="15"/>
        <v>14358.008800000001</v>
      </c>
      <c r="E22" s="30">
        <f t="shared" si="15"/>
        <v>77344.233999999997</v>
      </c>
      <c r="F22" s="30">
        <f t="shared" si="15"/>
        <v>63311.413999999997</v>
      </c>
      <c r="G22" s="30">
        <f t="shared" si="15"/>
        <v>89649.918000000005</v>
      </c>
      <c r="H22" s="30">
        <f t="shared" si="15"/>
        <v>91580.123999999996</v>
      </c>
      <c r="I22" s="30">
        <f t="shared" si="14"/>
        <v>314355.31706742855</v>
      </c>
      <c r="J22" s="30"/>
      <c r="K22" s="57"/>
      <c r="L22" s="57"/>
      <c r="M22" s="57"/>
      <c r="N22" s="58"/>
      <c r="O22" s="57"/>
      <c r="P22" s="57"/>
      <c r="Q22" s="62"/>
      <c r="R22" s="62"/>
      <c r="S22" s="62"/>
      <c r="T22" s="62"/>
      <c r="U22" s="62"/>
      <c r="V22" s="62"/>
      <c r="W22" s="59"/>
    </row>
    <row r="23" spans="1:23" ht="13.5" customHeight="1">
      <c r="A23" s="7" t="s">
        <v>20</v>
      </c>
      <c r="B23" s="14">
        <v>19427.489000000001</v>
      </c>
      <c r="C23" s="14">
        <v>2013.828</v>
      </c>
      <c r="D23" s="14">
        <v>35102.921999999999</v>
      </c>
      <c r="E23" s="14">
        <v>7681.9449999999997</v>
      </c>
      <c r="F23" s="18">
        <v>85.516999999999996</v>
      </c>
      <c r="G23" s="15">
        <v>16.117999999999999</v>
      </c>
      <c r="H23" s="15">
        <v>32.896999999999998</v>
      </c>
      <c r="I23" s="15"/>
      <c r="J23" s="14">
        <v>1.3959999999999999</v>
      </c>
      <c r="K23" s="19">
        <v>34.427</v>
      </c>
      <c r="L23" s="19">
        <v>29.952000000000002</v>
      </c>
      <c r="M23" s="19">
        <v>15.279</v>
      </c>
      <c r="N23" s="18">
        <v>32.124000000000002</v>
      </c>
      <c r="O23" s="19">
        <v>24.478000000000002</v>
      </c>
      <c r="P23" s="19">
        <v>52.926000000000002</v>
      </c>
      <c r="Q23" s="18">
        <v>16.978999999999999</v>
      </c>
      <c r="R23" s="19">
        <v>64.894999999999996</v>
      </c>
      <c r="S23" s="18">
        <v>48.015000000000001</v>
      </c>
      <c r="T23" s="18">
        <v>11.25</v>
      </c>
      <c r="U23" s="19">
        <v>285.21100000000001</v>
      </c>
      <c r="V23" s="19">
        <v>469.78100000000001</v>
      </c>
      <c r="W23" s="2"/>
    </row>
    <row r="24" spans="1:23" ht="13.5" customHeight="1">
      <c r="A24" s="7" t="s">
        <v>83</v>
      </c>
      <c r="B24" s="14">
        <v>291.13499999999999</v>
      </c>
      <c r="C24" s="14">
        <v>275.12200000000001</v>
      </c>
      <c r="D24" s="14">
        <v>1667.825</v>
      </c>
      <c r="E24" s="14">
        <v>1508.653</v>
      </c>
      <c r="F24" s="18">
        <v>1375.2170000000001</v>
      </c>
      <c r="G24" s="14">
        <v>1690.133</v>
      </c>
      <c r="H24" s="14">
        <v>1494.8440000000001</v>
      </c>
      <c r="I24" s="14"/>
      <c r="J24" s="14">
        <v>287.762</v>
      </c>
      <c r="K24" s="19">
        <v>312.68400000000003</v>
      </c>
      <c r="L24" s="19">
        <v>14.715999999999999</v>
      </c>
      <c r="M24" s="19">
        <v>13.567</v>
      </c>
      <c r="N24" s="18">
        <v>312.11399999999998</v>
      </c>
      <c r="O24" s="19">
        <v>14.978999999999999</v>
      </c>
      <c r="P24" s="19">
        <v>14.506</v>
      </c>
      <c r="Q24" s="18">
        <v>12.996</v>
      </c>
      <c r="R24" s="19">
        <v>12.16</v>
      </c>
      <c r="S24" s="18">
        <v>13.946</v>
      </c>
      <c r="T24" s="18">
        <v>15.041</v>
      </c>
      <c r="U24" s="19">
        <v>16.177</v>
      </c>
      <c r="V24" s="19">
        <v>15.486000000000001</v>
      </c>
      <c r="W24" s="2"/>
    </row>
    <row r="25" spans="1:23" s="49" customFormat="1" ht="13.5" customHeight="1">
      <c r="A25" s="44" t="s">
        <v>88</v>
      </c>
      <c r="B25" s="45">
        <f>B$4/B23</f>
        <v>0.96924517625515061</v>
      </c>
      <c r="C25" s="45">
        <f>C$4/C23</f>
        <v>0.95966487704014436</v>
      </c>
      <c r="D25" s="45">
        <f>D$4/D23</f>
        <v>0.83839174414027418</v>
      </c>
      <c r="E25" s="45">
        <f>E$4/E23</f>
        <v>0.97032717625549258</v>
      </c>
      <c r="F25" s="45">
        <f>F$4/F23</f>
        <v>1.0926482453781119</v>
      </c>
      <c r="G25" s="45">
        <f>1500/G24</f>
        <v>0.887504119498288</v>
      </c>
      <c r="H25" s="45">
        <f>1500/H24</f>
        <v>1.0034491893468482</v>
      </c>
      <c r="I25" s="46"/>
      <c r="J25" s="45">
        <f>250/J24</f>
        <v>0.86877350032318379</v>
      </c>
      <c r="K25" s="47">
        <v>1</v>
      </c>
      <c r="L25" s="45">
        <f t="shared" ref="L25:V25" si="16">L$4/L23</f>
        <v>1.2042601495726495</v>
      </c>
      <c r="M25" s="45">
        <f t="shared" si="16"/>
        <v>1.2108122259310163</v>
      </c>
      <c r="N25" s="45">
        <f t="shared" si="16"/>
        <v>1.15614493836384</v>
      </c>
      <c r="O25" s="45">
        <f t="shared" si="16"/>
        <v>1.0335811749325925</v>
      </c>
      <c r="P25" s="45">
        <f t="shared" si="16"/>
        <v>1.1298794543324642</v>
      </c>
      <c r="Q25" s="45">
        <f t="shared" si="16"/>
        <v>1.275693503739914</v>
      </c>
      <c r="R25" s="45">
        <f t="shared" si="16"/>
        <v>1.146467370367517</v>
      </c>
      <c r="S25" s="45">
        <f t="shared" si="16"/>
        <v>1.1958762886597938</v>
      </c>
      <c r="T25" s="45">
        <f t="shared" si="16"/>
        <v>1.1235555555555556</v>
      </c>
      <c r="U25" s="45">
        <f t="shared" si="16"/>
        <v>1.1009393045850264</v>
      </c>
      <c r="V25" s="45">
        <f t="shared" si="16"/>
        <v>1.1026414435662575</v>
      </c>
      <c r="W25" s="48"/>
    </row>
    <row r="26" spans="1:23" ht="13.5" customHeight="1">
      <c r="A26" s="7" t="s">
        <v>33</v>
      </c>
      <c r="B26" s="14">
        <v>249.142</v>
      </c>
      <c r="C26" s="68">
        <v>204.02699999999999</v>
      </c>
      <c r="D26" s="70">
        <v>2962.2015500000002</v>
      </c>
      <c r="E26" s="14">
        <v>7527.549</v>
      </c>
      <c r="F26" s="18">
        <v>797.31299999999999</v>
      </c>
      <c r="G26" s="14">
        <v>8046.45</v>
      </c>
      <c r="H26" s="14">
        <v>5870.14</v>
      </c>
      <c r="I26" s="14">
        <f>H26*(4.032+28.08+64)/28</f>
        <v>20149.674845714286</v>
      </c>
      <c r="J26" s="14">
        <v>-0.95199999999999996</v>
      </c>
      <c r="K26" s="19">
        <v>4.6689999999999996</v>
      </c>
      <c r="L26" s="19">
        <v>0.42099999999999999</v>
      </c>
      <c r="M26" s="19">
        <v>21.16</v>
      </c>
      <c r="N26" s="18">
        <v>289.44499999999999</v>
      </c>
      <c r="O26" s="19">
        <v>5.1210000000000004</v>
      </c>
      <c r="P26" s="19">
        <v>13.002000000000001</v>
      </c>
      <c r="Q26" s="24">
        <v>98.113199999999992</v>
      </c>
      <c r="R26" s="19">
        <v>9.032</v>
      </c>
      <c r="S26" s="24">
        <v>0.16320000000000001</v>
      </c>
      <c r="T26" s="31">
        <v>0.99359999999999993</v>
      </c>
      <c r="U26" s="24">
        <v>8.0902500000000011</v>
      </c>
      <c r="V26" s="31">
        <v>9.3324000000000016</v>
      </c>
      <c r="W26" s="2"/>
    </row>
    <row r="27" spans="1:23" ht="13.5" customHeight="1">
      <c r="A27" s="7" t="s">
        <v>34</v>
      </c>
      <c r="B27" s="14">
        <v>1191.558</v>
      </c>
      <c r="C27" s="68">
        <v>1104.2750000000001</v>
      </c>
      <c r="D27" s="70">
        <v>2299.4769499999998</v>
      </c>
      <c r="E27" s="14">
        <v>25377.579000000002</v>
      </c>
      <c r="F27" s="18">
        <v>26256.103999999999</v>
      </c>
      <c r="G27" s="14">
        <v>20226.153999999999</v>
      </c>
      <c r="H27" s="14">
        <v>20781.933000000001</v>
      </c>
      <c r="I27" s="14">
        <f t="shared" ref="I27:I32" si="17">H27*(4.032+28.08+64)/28</f>
        <v>71335.469446285715</v>
      </c>
      <c r="J27" s="14">
        <v>7885.24</v>
      </c>
      <c r="K27" s="19">
        <v>1362.4749999999999</v>
      </c>
      <c r="L27" s="20">
        <v>55.701000000000001</v>
      </c>
      <c r="M27" s="19">
        <v>49.915999999999997</v>
      </c>
      <c r="N27" s="18">
        <v>1419.4780000000001</v>
      </c>
      <c r="O27" s="19">
        <v>27.616</v>
      </c>
      <c r="P27" s="19">
        <v>51.39</v>
      </c>
      <c r="Q27" s="24">
        <v>642.33839999999998</v>
      </c>
      <c r="R27" s="19">
        <v>88.781000000000006</v>
      </c>
      <c r="S27" s="24">
        <v>0.97679999999999989</v>
      </c>
      <c r="T27" s="31">
        <v>6.7860000000000005</v>
      </c>
      <c r="U27" s="24">
        <v>45.644549999999995</v>
      </c>
      <c r="V27" s="31">
        <v>47.93910000000001</v>
      </c>
      <c r="W27" s="2"/>
    </row>
    <row r="28" spans="1:23" ht="13.5" customHeight="1">
      <c r="A28" s="7" t="s">
        <v>35</v>
      </c>
      <c r="B28" s="14">
        <v>1253.732</v>
      </c>
      <c r="C28" s="68">
        <v>1064.8119999999999</v>
      </c>
      <c r="D28" s="70">
        <v>2347.70595</v>
      </c>
      <c r="E28" s="14">
        <v>18706.837</v>
      </c>
      <c r="F28" s="18">
        <v>18774.116000000002</v>
      </c>
      <c r="G28" s="14">
        <v>14699.55</v>
      </c>
      <c r="H28" s="14">
        <v>17015.113000000001</v>
      </c>
      <c r="I28" s="14">
        <f t="shared" si="17"/>
        <v>58405.590737714279</v>
      </c>
      <c r="J28" s="14">
        <v>6907.5839999999998</v>
      </c>
      <c r="K28" s="19">
        <v>886.65</v>
      </c>
      <c r="L28" s="19">
        <v>37.462000000000003</v>
      </c>
      <c r="M28" s="19">
        <v>40.156999999999996</v>
      </c>
      <c r="N28" s="18">
        <v>1081.93</v>
      </c>
      <c r="O28" s="19">
        <v>19.521999999999998</v>
      </c>
      <c r="P28" s="19">
        <v>37.700000000000003</v>
      </c>
      <c r="Q28" s="24">
        <v>510.88079999999997</v>
      </c>
      <c r="R28" s="19">
        <v>60.576999999999998</v>
      </c>
      <c r="S28" s="24">
        <v>0.82440000000000002</v>
      </c>
      <c r="T28" s="31">
        <v>5.1168000000000005</v>
      </c>
      <c r="U28" s="24">
        <v>38.195850000000007</v>
      </c>
      <c r="V28" s="31">
        <v>43.096900000000005</v>
      </c>
      <c r="W28" s="2"/>
    </row>
    <row r="29" spans="1:23" ht="13.5" customHeight="1">
      <c r="A29" s="7" t="s">
        <v>36</v>
      </c>
      <c r="B29" s="14">
        <v>2114.779</v>
      </c>
      <c r="C29" s="68">
        <v>1630.7909999999999</v>
      </c>
      <c r="D29" s="70">
        <v>1923.2754500000001</v>
      </c>
      <c r="E29" s="14">
        <v>18330.620999999999</v>
      </c>
      <c r="F29" s="18">
        <v>18006.502</v>
      </c>
      <c r="G29" s="14">
        <v>13344.578</v>
      </c>
      <c r="H29" s="14">
        <v>16012.936</v>
      </c>
      <c r="I29" s="14">
        <f t="shared" si="17"/>
        <v>54965.546601142851</v>
      </c>
      <c r="J29" s="14">
        <v>6289.1790000000001</v>
      </c>
      <c r="K29" s="19">
        <v>1221.9880000000001</v>
      </c>
      <c r="L29" s="19">
        <v>35.884999999999998</v>
      </c>
      <c r="M29" s="19">
        <v>41.994</v>
      </c>
      <c r="N29" s="18">
        <v>983.99900000000002</v>
      </c>
      <c r="O29" s="19">
        <v>18.408999999999999</v>
      </c>
      <c r="P29" s="19">
        <v>37.878999999999998</v>
      </c>
      <c r="Q29" s="24">
        <v>542.72760000000005</v>
      </c>
      <c r="R29" s="19">
        <v>59.572000000000003</v>
      </c>
      <c r="S29" s="24">
        <v>0.82559999999999989</v>
      </c>
      <c r="T29" s="31">
        <v>4.7519999999999998</v>
      </c>
      <c r="U29" s="24">
        <v>39.944100000000006</v>
      </c>
      <c r="V29" s="31">
        <v>51.082900000000002</v>
      </c>
      <c r="W29" s="2"/>
    </row>
    <row r="30" spans="1:23" ht="13.5" customHeight="1">
      <c r="A30" s="7" t="s">
        <v>37</v>
      </c>
      <c r="B30" s="14">
        <v>4567.7420000000002</v>
      </c>
      <c r="C30" s="68">
        <v>2908.99</v>
      </c>
      <c r="D30" s="70">
        <v>6448.2351499999995</v>
      </c>
      <c r="E30" s="14">
        <v>24770.958999999999</v>
      </c>
      <c r="F30" s="18">
        <v>24413.044000000002</v>
      </c>
      <c r="G30" s="14">
        <v>95914.967000000004</v>
      </c>
      <c r="H30" s="14">
        <v>50621.603999999999</v>
      </c>
      <c r="I30" s="14">
        <f t="shared" si="17"/>
        <v>173762.27155885712</v>
      </c>
      <c r="J30" s="14">
        <v>7418.4359999999997</v>
      </c>
      <c r="K30" s="19">
        <v>1867.1369999999999</v>
      </c>
      <c r="L30" s="19">
        <v>61.003999999999998</v>
      </c>
      <c r="M30" s="19">
        <v>67.319999999999993</v>
      </c>
      <c r="N30" s="18">
        <v>1194.8679999999999</v>
      </c>
      <c r="O30" s="19">
        <v>25.446999999999999</v>
      </c>
      <c r="P30" s="19">
        <v>49.851999999999997</v>
      </c>
      <c r="Q30" s="24">
        <v>726.09720000000004</v>
      </c>
      <c r="R30" s="19">
        <v>84.116</v>
      </c>
      <c r="S30" s="24">
        <v>1.4087999999999998</v>
      </c>
      <c r="T30" s="31">
        <v>4.7699999999999996</v>
      </c>
      <c r="U30" s="24">
        <v>56.866950000000003</v>
      </c>
      <c r="V30" s="31">
        <v>80.938000000000002</v>
      </c>
      <c r="W30" s="2"/>
    </row>
    <row r="31" spans="1:23" ht="13.5" customHeight="1">
      <c r="A31" s="7" t="s">
        <v>38</v>
      </c>
      <c r="B31" s="14">
        <v>13034.644</v>
      </c>
      <c r="C31" s="68">
        <v>8558.0040000000008</v>
      </c>
      <c r="D31" s="70">
        <v>3954.4329000000002</v>
      </c>
      <c r="E31" s="14">
        <v>45406.292000000001</v>
      </c>
      <c r="F31" s="18">
        <v>48527.663</v>
      </c>
      <c r="G31" s="14">
        <v>83678.691000000006</v>
      </c>
      <c r="H31" s="14">
        <v>60594.302000000003</v>
      </c>
      <c r="I31" s="14">
        <f t="shared" si="17"/>
        <v>207994.26977942858</v>
      </c>
      <c r="J31" s="14">
        <v>18351.61</v>
      </c>
      <c r="K31" s="19">
        <v>3422.7530000000002</v>
      </c>
      <c r="L31" s="19">
        <v>124.114</v>
      </c>
      <c r="M31" s="19">
        <v>104.578</v>
      </c>
      <c r="N31" s="18">
        <v>2462.6770000000001</v>
      </c>
      <c r="O31" s="19">
        <v>53.363999999999997</v>
      </c>
      <c r="P31" s="19">
        <v>106.52800000000001</v>
      </c>
      <c r="Q31" s="24">
        <v>2395.0823999999998</v>
      </c>
      <c r="R31" s="19">
        <v>292.46100000000001</v>
      </c>
      <c r="S31" s="24">
        <v>3.48</v>
      </c>
      <c r="T31" s="31">
        <v>5.2991999999999999</v>
      </c>
      <c r="U31" s="24">
        <v>84.85575</v>
      </c>
      <c r="V31" s="31">
        <v>160.53620000000001</v>
      </c>
      <c r="W31" s="2"/>
    </row>
    <row r="32" spans="1:23" s="60" customFormat="1" ht="13.5" customHeight="1">
      <c r="A32" s="56" t="s">
        <v>97</v>
      </c>
      <c r="B32" s="30">
        <f>SUM(B26:B31)</f>
        <v>22411.597000000002</v>
      </c>
      <c r="C32" s="30">
        <f t="shared" ref="C32" si="18">SUM(C26:C31)</f>
        <v>15470.899000000001</v>
      </c>
      <c r="D32" s="30">
        <f t="shared" ref="D32" si="19">SUM(D26:D31)</f>
        <v>19935.327949999999</v>
      </c>
      <c r="E32" s="30">
        <f t="shared" ref="E32" si="20">SUM(E26:E31)</f>
        <v>140119.837</v>
      </c>
      <c r="F32" s="30">
        <f t="shared" ref="F32" si="21">SUM(F26:F31)</f>
        <v>136774.742</v>
      </c>
      <c r="G32" s="30">
        <f t="shared" ref="G32" si="22">SUM(G26:G31)</f>
        <v>235910.39</v>
      </c>
      <c r="H32" s="30">
        <f t="shared" ref="H32" si="23">SUM(H26:H31)</f>
        <v>170896.02799999999</v>
      </c>
      <c r="I32" s="30">
        <f t="shared" si="17"/>
        <v>586612.82296914281</v>
      </c>
      <c r="J32" s="30"/>
      <c r="K32" s="57"/>
      <c r="L32" s="57"/>
      <c r="M32" s="57"/>
      <c r="N32" s="58"/>
      <c r="O32" s="57"/>
      <c r="P32" s="57"/>
      <c r="Q32" s="62"/>
      <c r="R32" s="57"/>
      <c r="S32" s="62"/>
      <c r="T32" s="63"/>
      <c r="U32" s="62"/>
      <c r="V32" s="63"/>
      <c r="W32" s="59"/>
    </row>
    <row r="33" spans="1:23" ht="13.5" customHeight="1">
      <c r="A33" s="7" t="s">
        <v>20</v>
      </c>
      <c r="B33" s="14">
        <v>18884.714</v>
      </c>
      <c r="C33" s="14">
        <v>1894.6130000000001</v>
      </c>
      <c r="D33" s="14">
        <v>33509.74</v>
      </c>
      <c r="E33" s="14">
        <v>7396.42</v>
      </c>
      <c r="F33" s="18">
        <v>75.918000000000006</v>
      </c>
      <c r="G33" s="14">
        <v>7.6950000000000003</v>
      </c>
      <c r="H33" s="15">
        <v>18.309999999999999</v>
      </c>
      <c r="I33" s="15"/>
      <c r="J33" s="14">
        <v>0.98399999999999999</v>
      </c>
      <c r="K33" s="19">
        <v>32.79</v>
      </c>
      <c r="L33" s="19">
        <v>28.62</v>
      </c>
      <c r="M33" s="19">
        <v>14.712999999999999</v>
      </c>
      <c r="N33" s="18">
        <v>30.731000000000002</v>
      </c>
      <c r="O33" s="19">
        <v>23.774000000000001</v>
      </c>
      <c r="P33" s="19">
        <v>51.14</v>
      </c>
      <c r="Q33" s="18">
        <v>16.486000000000001</v>
      </c>
      <c r="R33" s="19">
        <v>62.152000000000001</v>
      </c>
      <c r="S33" s="18">
        <v>46.395000000000003</v>
      </c>
      <c r="T33" s="18">
        <v>10.840999999999999</v>
      </c>
      <c r="U33" s="19">
        <v>273.17399999999998</v>
      </c>
      <c r="V33" s="19">
        <v>456.28500000000003</v>
      </c>
      <c r="W33" s="2"/>
    </row>
    <row r="34" spans="1:23" ht="13.5" customHeight="1">
      <c r="A34" s="7" t="s">
        <v>83</v>
      </c>
      <c r="B34" s="14">
        <v>276.79300000000001</v>
      </c>
      <c r="C34" s="14">
        <v>254.922</v>
      </c>
      <c r="D34" s="14">
        <v>1545.5740000000001</v>
      </c>
      <c r="E34" s="14">
        <v>1423.3789999999999</v>
      </c>
      <c r="F34" s="18">
        <v>1307.3009999999999</v>
      </c>
      <c r="G34" s="14">
        <v>1555.9960000000001</v>
      </c>
      <c r="H34" s="14">
        <v>1357.6569999999999</v>
      </c>
      <c r="I34" s="14"/>
      <c r="J34" s="14">
        <v>271.47699999999998</v>
      </c>
      <c r="K34" s="19">
        <v>291.303</v>
      </c>
      <c r="L34" s="19">
        <v>13.920999999999999</v>
      </c>
      <c r="M34" s="19">
        <v>12.723000000000001</v>
      </c>
      <c r="N34" s="18">
        <v>292.96600000000001</v>
      </c>
      <c r="O34" s="19">
        <v>14.13</v>
      </c>
      <c r="P34" s="19">
        <v>13.753</v>
      </c>
      <c r="Q34" s="18">
        <v>12.686</v>
      </c>
      <c r="R34" s="19">
        <v>11.409000000000001</v>
      </c>
      <c r="S34" s="18">
        <v>13.37</v>
      </c>
      <c r="T34" s="18">
        <v>14.057</v>
      </c>
      <c r="U34" s="19">
        <v>14.962</v>
      </c>
      <c r="V34" s="19">
        <v>15.125</v>
      </c>
      <c r="W34" s="2"/>
    </row>
    <row r="35" spans="1:23" s="55" customFormat="1" ht="13.5" customHeight="1">
      <c r="A35" s="50" t="s">
        <v>89</v>
      </c>
      <c r="B35" s="51">
        <f>B4/B33</f>
        <v>0.99710273610709699</v>
      </c>
      <c r="C35" s="51">
        <f>C4/C33</f>
        <v>1.0200500049350447</v>
      </c>
      <c r="D35" s="51">
        <v>0.85</v>
      </c>
      <c r="E35" s="51">
        <f>E4/E33</f>
        <v>1.0077848472639466</v>
      </c>
      <c r="F35" s="51">
        <f>F4/F33</f>
        <v>1.2308016544166072</v>
      </c>
      <c r="G35" s="51">
        <f>1500/G34</f>
        <v>0.96401276095825428</v>
      </c>
      <c r="H35" s="51">
        <f>1500/H34</f>
        <v>1.104844596241908</v>
      </c>
      <c r="I35" s="52"/>
      <c r="J35" s="51">
        <f>250/J34</f>
        <v>0.92088832571451729</v>
      </c>
      <c r="K35" s="53">
        <v>1</v>
      </c>
      <c r="L35" s="51">
        <f>L4/L33</f>
        <v>1.2603074772886094</v>
      </c>
      <c r="M35" s="51">
        <f>M4/M33</f>
        <v>1.2573914225514851</v>
      </c>
      <c r="N35" s="51">
        <f>N4/N33</f>
        <v>1.2085516253945527</v>
      </c>
      <c r="O35" s="51">
        <f>O4/O33</f>
        <v>1.06418776815008</v>
      </c>
      <c r="P35" s="51">
        <f>P4/P33</f>
        <v>1.1693390692217442</v>
      </c>
      <c r="Q35" s="51">
        <v>1.35</v>
      </c>
      <c r="R35" s="51">
        <f>R4/R33</f>
        <v>1.1970652593641395</v>
      </c>
      <c r="S35" s="51">
        <v>1.25</v>
      </c>
      <c r="T35" s="51">
        <v>1.2</v>
      </c>
      <c r="U35" s="51">
        <v>1.1499999999999999</v>
      </c>
      <c r="V35" s="51">
        <v>1.1000000000000001</v>
      </c>
      <c r="W35" s="54"/>
    </row>
    <row r="36" spans="1:23" ht="13.5" customHeight="1">
      <c r="A36" s="7" t="s">
        <v>39</v>
      </c>
      <c r="B36" s="68">
        <v>347.17</v>
      </c>
      <c r="C36" s="68">
        <v>319.94050000000004</v>
      </c>
      <c r="D36" s="68">
        <v>2937.2660000000001</v>
      </c>
      <c r="E36" s="68">
        <v>7108.1809999999996</v>
      </c>
      <c r="F36" s="22">
        <v>1721.1949999999999</v>
      </c>
      <c r="G36" s="14">
        <v>7425.3140000000003</v>
      </c>
      <c r="H36" s="14">
        <v>5197.75</v>
      </c>
      <c r="I36" s="14">
        <f>H36*(4.032+28.08+64)/28</f>
        <v>17841.648142857142</v>
      </c>
      <c r="J36" s="14">
        <v>1.3959999999999999</v>
      </c>
      <c r="K36" s="19">
        <v>4.2050000000000001</v>
      </c>
      <c r="L36" s="19">
        <v>0.124</v>
      </c>
      <c r="M36" s="19">
        <v>19.771000000000001</v>
      </c>
      <c r="N36" s="18">
        <v>227.93899999999999</v>
      </c>
      <c r="O36" s="24">
        <v>8.4699999999999989</v>
      </c>
      <c r="P36" s="19">
        <v>16.890999999999998</v>
      </c>
      <c r="Q36" s="31">
        <v>100.46295000000001</v>
      </c>
      <c r="R36" s="24">
        <v>18.3156</v>
      </c>
      <c r="S36" s="31">
        <v>4.7500000000000001E-2</v>
      </c>
      <c r="T36" s="31">
        <v>0.99599999999999989</v>
      </c>
      <c r="U36" s="31">
        <v>5.0968</v>
      </c>
      <c r="V36" s="24">
        <v>4.6229999999999993</v>
      </c>
      <c r="W36" s="2"/>
    </row>
    <row r="37" spans="1:23" ht="13.5" customHeight="1">
      <c r="A37" s="7" t="s">
        <v>40</v>
      </c>
      <c r="B37" s="68">
        <v>1397.117</v>
      </c>
      <c r="C37" s="68">
        <v>1513.9530999999999</v>
      </c>
      <c r="D37" s="68">
        <v>6970.6819999999998</v>
      </c>
      <c r="E37" s="68">
        <v>22276.013999999999</v>
      </c>
      <c r="F37" s="18">
        <v>30228.932000000001</v>
      </c>
      <c r="G37" s="14">
        <v>25533.546999999999</v>
      </c>
      <c r="H37" s="14">
        <v>22737.482</v>
      </c>
      <c r="I37" s="14">
        <f t="shared" ref="I37:I42" si="24">H37*(4.032+28.08+64)/28</f>
        <v>78048.031070857149</v>
      </c>
      <c r="J37" s="14">
        <v>2592.08</v>
      </c>
      <c r="K37" s="19">
        <v>1497.8489999999999</v>
      </c>
      <c r="L37" s="19">
        <v>64.305000000000007</v>
      </c>
      <c r="M37" s="19">
        <v>87.528999999999996</v>
      </c>
      <c r="N37" s="18">
        <v>1029.201</v>
      </c>
      <c r="O37" s="24">
        <v>39.943749999999994</v>
      </c>
      <c r="P37" s="19">
        <v>77.281999999999996</v>
      </c>
      <c r="Q37" s="31">
        <v>550.05074999999999</v>
      </c>
      <c r="R37" s="24">
        <v>125.25839999999999</v>
      </c>
      <c r="S37" s="31">
        <v>0.83125000000000004</v>
      </c>
      <c r="T37" s="31">
        <v>4.9691999999999998</v>
      </c>
      <c r="U37" s="31">
        <v>28.755749999999995</v>
      </c>
      <c r="V37" s="24">
        <v>82.407849999999996</v>
      </c>
      <c r="W37" s="2"/>
    </row>
    <row r="38" spans="1:23" ht="13.5" customHeight="1">
      <c r="A38" s="7" t="s">
        <v>41</v>
      </c>
      <c r="B38" s="68">
        <v>3157.2469999999998</v>
      </c>
      <c r="C38" s="68">
        <v>2941.5573000000004</v>
      </c>
      <c r="D38" s="68">
        <v>2513.4430000000002</v>
      </c>
      <c r="E38" s="68">
        <v>23317.277999999998</v>
      </c>
      <c r="F38" s="18">
        <v>22790.649000000001</v>
      </c>
      <c r="G38" s="14">
        <v>22216.241000000002</v>
      </c>
      <c r="H38" s="14">
        <v>19421.591</v>
      </c>
      <c r="I38" s="14">
        <f t="shared" si="24"/>
        <v>66665.998363999999</v>
      </c>
      <c r="J38" s="14">
        <v>4696.0010000000002</v>
      </c>
      <c r="K38" s="19">
        <v>967.87199999999996</v>
      </c>
      <c r="L38" s="19">
        <v>40.377000000000002</v>
      </c>
      <c r="M38" s="19">
        <v>43.457999999999998</v>
      </c>
      <c r="N38" s="18">
        <v>1098.3389999999999</v>
      </c>
      <c r="O38" s="24">
        <v>31.756250000000001</v>
      </c>
      <c r="P38" s="19">
        <v>48.682000000000002</v>
      </c>
      <c r="Q38" s="31">
        <v>753.76035000000002</v>
      </c>
      <c r="R38" s="24">
        <v>130.14359999999999</v>
      </c>
      <c r="S38" s="31">
        <v>0.98250000000000004</v>
      </c>
      <c r="T38" s="31">
        <v>5.6411999999999995</v>
      </c>
      <c r="U38" s="31">
        <v>41.066499999999998</v>
      </c>
      <c r="V38" s="24">
        <v>94.381649999999993</v>
      </c>
      <c r="W38" s="2"/>
    </row>
    <row r="39" spans="1:23" ht="13.5" customHeight="1">
      <c r="A39" s="7" t="s">
        <v>42</v>
      </c>
      <c r="B39" s="68">
        <v>3084.4231400000003</v>
      </c>
      <c r="C39" s="68">
        <v>2099.7988</v>
      </c>
      <c r="D39" s="68">
        <v>2133.69</v>
      </c>
      <c r="E39" s="68">
        <v>20170.505820000002</v>
      </c>
      <c r="F39" s="18">
        <v>17626.8</v>
      </c>
      <c r="G39" s="14">
        <v>22525.147000000001</v>
      </c>
      <c r="H39" s="14">
        <v>19046.687000000002</v>
      </c>
      <c r="I39" s="14">
        <f t="shared" si="24"/>
        <v>65379.113605142862</v>
      </c>
      <c r="J39" s="14">
        <v>2522.5189999999998</v>
      </c>
      <c r="K39" s="19">
        <v>1517.818</v>
      </c>
      <c r="L39" s="19">
        <v>35.795999999999999</v>
      </c>
      <c r="M39" s="19">
        <v>45.037999999999997</v>
      </c>
      <c r="N39" s="18">
        <v>689.96799999999996</v>
      </c>
      <c r="O39" s="24">
        <v>22.87125</v>
      </c>
      <c r="P39" s="19">
        <v>38.374000000000002</v>
      </c>
      <c r="Q39" s="31">
        <v>413.33625000000006</v>
      </c>
      <c r="R39" s="24">
        <v>76.036799999999999</v>
      </c>
      <c r="S39" s="31">
        <v>0.52625</v>
      </c>
      <c r="T39" s="31">
        <v>3.1127999999999996</v>
      </c>
      <c r="U39" s="31">
        <v>23.240349999999999</v>
      </c>
      <c r="V39" s="24">
        <v>52.743599999999994</v>
      </c>
      <c r="W39" s="2"/>
    </row>
    <row r="40" spans="1:23" ht="13.5" customHeight="1">
      <c r="A40" s="7" t="s">
        <v>43</v>
      </c>
      <c r="B40" s="68">
        <v>7586.3607600000005</v>
      </c>
      <c r="C40" s="68">
        <v>4493.0094000000008</v>
      </c>
      <c r="D40" s="68">
        <v>2626.64</v>
      </c>
      <c r="E40" s="68">
        <v>32319.529759999998</v>
      </c>
      <c r="F40" s="18">
        <v>28574.857</v>
      </c>
      <c r="G40" s="14">
        <v>37575.247000000003</v>
      </c>
      <c r="H40" s="14">
        <v>30927.864000000001</v>
      </c>
      <c r="I40" s="14">
        <f t="shared" si="24"/>
        <v>106162.10231314285</v>
      </c>
      <c r="J40" s="14">
        <v>7664.7889999999998</v>
      </c>
      <c r="K40" s="19">
        <v>2457.183</v>
      </c>
      <c r="L40" s="19">
        <v>71.233000000000004</v>
      </c>
      <c r="M40" s="19">
        <v>70.5</v>
      </c>
      <c r="N40" s="18">
        <v>1126.9380000000001</v>
      </c>
      <c r="O40" s="24">
        <v>37.487499999999997</v>
      </c>
      <c r="P40" s="19">
        <v>58.959000000000003</v>
      </c>
      <c r="Q40" s="31">
        <v>996.49170000000015</v>
      </c>
      <c r="R40" s="24">
        <v>144.84119999999999</v>
      </c>
      <c r="S40" s="31">
        <v>1.3287499999999999</v>
      </c>
      <c r="T40" s="31">
        <v>3.5112000000000001</v>
      </c>
      <c r="U40" s="31">
        <v>42.793799999999997</v>
      </c>
      <c r="V40" s="24">
        <v>105.89889999999998</v>
      </c>
      <c r="W40" s="2"/>
    </row>
    <row r="41" spans="1:23" ht="13.5" customHeight="1">
      <c r="A41" s="7" t="s">
        <v>44</v>
      </c>
      <c r="B41" s="68">
        <v>13610.479020000001</v>
      </c>
      <c r="C41" s="68">
        <v>9772.0403000000024</v>
      </c>
      <c r="D41" s="68">
        <v>10934.999</v>
      </c>
      <c r="E41" s="68">
        <v>92320.773919999992</v>
      </c>
      <c r="F41" s="18">
        <v>91364.331000000006</v>
      </c>
      <c r="G41" s="14">
        <v>74662.626999999993</v>
      </c>
      <c r="H41" s="14">
        <v>77468.759999999995</v>
      </c>
      <c r="I41" s="14">
        <f t="shared" si="24"/>
        <v>265917.05218285712</v>
      </c>
      <c r="J41" s="14">
        <v>21289.343000000001</v>
      </c>
      <c r="K41" s="19">
        <v>4495.9189999999999</v>
      </c>
      <c r="L41" s="19">
        <v>209.91</v>
      </c>
      <c r="M41" s="19">
        <v>216.148</v>
      </c>
      <c r="N41" s="18">
        <v>3077.63</v>
      </c>
      <c r="O41" s="24">
        <v>117.16625000000001</v>
      </c>
      <c r="P41" s="19">
        <v>197.21100000000001</v>
      </c>
      <c r="Q41" s="31">
        <v>2940.9885000000004</v>
      </c>
      <c r="R41" s="24">
        <v>505.76879999999994</v>
      </c>
      <c r="S41" s="31">
        <v>3.7362500000000001</v>
      </c>
      <c r="T41" s="31">
        <v>6.0671999999999997</v>
      </c>
      <c r="U41" s="31">
        <v>101.31385</v>
      </c>
      <c r="V41" s="24">
        <v>187.8502</v>
      </c>
      <c r="W41" s="2"/>
    </row>
    <row r="42" spans="1:23" s="60" customFormat="1" ht="13.5" customHeight="1">
      <c r="A42" s="56" t="s">
        <v>98</v>
      </c>
      <c r="B42" s="30">
        <f>SUM(B36:B41)</f>
        <v>29182.796920000001</v>
      </c>
      <c r="C42" s="30">
        <f t="shared" ref="C42" si="25">SUM(C36:C41)</f>
        <v>21140.299400000004</v>
      </c>
      <c r="D42" s="30">
        <f t="shared" ref="D42" si="26">SUM(D36:D41)</f>
        <v>28116.720000000001</v>
      </c>
      <c r="E42" s="30">
        <f t="shared" ref="E42" si="27">SUM(E36:E41)</f>
        <v>197512.28249999997</v>
      </c>
      <c r="F42" s="30">
        <f t="shared" ref="F42" si="28">SUM(F36:F41)</f>
        <v>192306.76400000002</v>
      </c>
      <c r="G42" s="30">
        <f t="shared" ref="G42" si="29">SUM(G36:G41)</f>
        <v>189938.12299999999</v>
      </c>
      <c r="H42" s="30">
        <f t="shared" ref="H42" si="30">SUM(H36:H41)</f>
        <v>174800.13400000002</v>
      </c>
      <c r="I42" s="30">
        <f t="shared" si="24"/>
        <v>600013.94567885716</v>
      </c>
      <c r="J42" s="30"/>
      <c r="K42" s="57"/>
      <c r="L42" s="57"/>
      <c r="M42" s="57"/>
      <c r="N42" s="58"/>
      <c r="O42" s="62"/>
      <c r="P42" s="57"/>
      <c r="Q42" s="63"/>
      <c r="R42" s="62"/>
      <c r="S42" s="63"/>
      <c r="T42" s="63"/>
      <c r="U42" s="63"/>
      <c r="V42" s="62"/>
      <c r="W42" s="59"/>
    </row>
    <row r="43" spans="1:23" s="41" customFormat="1" ht="13.5" customHeight="1">
      <c r="A43" s="35" t="s">
        <v>20</v>
      </c>
      <c r="B43" s="36">
        <v>17265.723999999998</v>
      </c>
      <c r="C43" s="36">
        <v>1704.479</v>
      </c>
      <c r="D43" s="36">
        <v>30024.23</v>
      </c>
      <c r="E43" s="71">
        <v>7323.5060000000003</v>
      </c>
      <c r="F43" s="38">
        <v>69.748000000000005</v>
      </c>
      <c r="G43" s="36">
        <v>-6.742</v>
      </c>
      <c r="H43" s="36">
        <v>-38.692999999999998</v>
      </c>
      <c r="I43" s="36"/>
      <c r="J43" s="36">
        <v>-4.3470000000000004</v>
      </c>
      <c r="K43" s="39">
        <v>37.549999999999997</v>
      </c>
      <c r="L43" s="39">
        <v>24.957000000000001</v>
      </c>
      <c r="M43" s="39">
        <v>12.831</v>
      </c>
      <c r="N43" s="38">
        <v>27.245999999999999</v>
      </c>
      <c r="O43" s="39">
        <v>20.206</v>
      </c>
      <c r="P43" s="39">
        <v>46.411000000000001</v>
      </c>
      <c r="Q43" s="38">
        <v>14.856999999999999</v>
      </c>
      <c r="R43" s="39">
        <v>62.841000000000001</v>
      </c>
      <c r="S43" s="38">
        <v>45.341000000000001</v>
      </c>
      <c r="T43" s="38">
        <v>9.9670000000000005</v>
      </c>
      <c r="U43" s="39">
        <v>253.827</v>
      </c>
      <c r="V43" s="39">
        <v>444.404</v>
      </c>
      <c r="W43" s="40"/>
    </row>
    <row r="44" spans="1:23" ht="13.5" customHeight="1">
      <c r="A44" s="7" t="s">
        <v>83</v>
      </c>
      <c r="B44" s="14">
        <v>263.30399999999997</v>
      </c>
      <c r="C44" s="14">
        <v>235.51900000000001</v>
      </c>
      <c r="D44" s="14">
        <v>1424.672</v>
      </c>
      <c r="E44" s="14">
        <v>1442.596</v>
      </c>
      <c r="F44" s="18">
        <v>1212.5609999999999</v>
      </c>
      <c r="G44" s="14">
        <v>1454.0509999999999</v>
      </c>
      <c r="H44" s="14">
        <v>1211.6880000000001</v>
      </c>
      <c r="I44" s="14"/>
      <c r="J44" s="14">
        <v>259.12900000000002</v>
      </c>
      <c r="K44" s="19">
        <v>284.24200000000002</v>
      </c>
      <c r="L44" s="19">
        <v>12.677</v>
      </c>
      <c r="M44" s="19">
        <v>11.795999999999999</v>
      </c>
      <c r="N44" s="18">
        <v>270.28399999999999</v>
      </c>
      <c r="O44" s="19">
        <v>13.339</v>
      </c>
      <c r="P44" s="19">
        <v>12.874000000000001</v>
      </c>
      <c r="Q44" s="18">
        <v>11.557</v>
      </c>
      <c r="R44" s="19">
        <v>10.057</v>
      </c>
      <c r="S44" s="18">
        <v>12.021000000000001</v>
      </c>
      <c r="T44" s="18">
        <v>13.164999999999999</v>
      </c>
      <c r="U44" s="19">
        <v>14.106999999999999</v>
      </c>
      <c r="V44" s="19">
        <v>14.744</v>
      </c>
      <c r="W44" s="2"/>
    </row>
    <row r="45" spans="1:23" s="49" customFormat="1" ht="13.5" customHeight="1">
      <c r="A45" s="44" t="s">
        <v>90</v>
      </c>
      <c r="B45" s="45">
        <f>B$4/B43</f>
        <v>1.09060008140985</v>
      </c>
      <c r="C45" s="45">
        <f>C$4/C43</f>
        <v>1.1338362044941592</v>
      </c>
      <c r="D45" s="45">
        <f>D$4/D43</f>
        <v>0.98020831841482692</v>
      </c>
      <c r="E45" s="45">
        <f>E$4/E43</f>
        <v>1.0178185147933243</v>
      </c>
      <c r="F45" s="45">
        <f>1500/F44</f>
        <v>1.2370511669103659</v>
      </c>
      <c r="G45" s="45">
        <f>1500/G44</f>
        <v>1.0316006797560746</v>
      </c>
      <c r="H45" s="45">
        <f>1500/H44</f>
        <v>1.2379424406282804</v>
      </c>
      <c r="I45" s="45"/>
      <c r="J45" s="45">
        <f>250/J44</f>
        <v>0.96477044252090649</v>
      </c>
      <c r="K45" s="47">
        <v>1</v>
      </c>
      <c r="L45" s="45">
        <f t="shared" ref="L45:V45" si="31">L4/L43</f>
        <v>1.4452858917337821</v>
      </c>
      <c r="M45" s="45">
        <f t="shared" si="31"/>
        <v>1.4418205907567609</v>
      </c>
      <c r="N45" s="45">
        <f t="shared" si="31"/>
        <v>1.3631358731556926</v>
      </c>
      <c r="O45" s="45">
        <f t="shared" si="31"/>
        <v>1.2521033356428783</v>
      </c>
      <c r="P45" s="45">
        <f t="shared" si="31"/>
        <v>1.2884876430156642</v>
      </c>
      <c r="Q45" s="45">
        <f t="shared" si="31"/>
        <v>1.4578986336407083</v>
      </c>
      <c r="R45" s="45">
        <f t="shared" si="31"/>
        <v>1.183940421062682</v>
      </c>
      <c r="S45" s="45">
        <f t="shared" si="31"/>
        <v>1.2664034758827551</v>
      </c>
      <c r="T45" s="45">
        <f t="shared" si="31"/>
        <v>1.2681850105347647</v>
      </c>
      <c r="U45" s="45">
        <f t="shared" si="31"/>
        <v>1.2370630389990032</v>
      </c>
      <c r="V45" s="45">
        <f t="shared" si="31"/>
        <v>1.1656060701523838</v>
      </c>
      <c r="W45" s="48"/>
    </row>
    <row r="46" spans="1:23" ht="13.5" customHeight="1">
      <c r="A46" s="7" t="s">
        <v>45</v>
      </c>
      <c r="B46" s="29">
        <v>831.47707000000003</v>
      </c>
      <c r="C46" s="31">
        <v>263.49180000000001</v>
      </c>
      <c r="D46" s="14">
        <v>4444.4059999999999</v>
      </c>
      <c r="E46" s="29">
        <v>7241.5856599999997</v>
      </c>
      <c r="F46" s="18">
        <v>866.62900000000002</v>
      </c>
      <c r="G46" s="14">
        <v>12407.385</v>
      </c>
      <c r="H46" s="14">
        <v>7434.1570000000002</v>
      </c>
      <c r="I46" s="14">
        <f>H46*(4.032+28.08+64)/28</f>
        <v>25518.274913714286</v>
      </c>
      <c r="J46" s="14">
        <v>-7.0119999999999996</v>
      </c>
      <c r="K46" s="19">
        <v>5.9409999999999998</v>
      </c>
      <c r="L46" s="19">
        <v>-8.0000000000000002E-3</v>
      </c>
      <c r="M46" s="19">
        <v>3.637</v>
      </c>
      <c r="N46" s="18">
        <v>259.39299999999997</v>
      </c>
      <c r="O46" s="29">
        <v>13.7075</v>
      </c>
      <c r="P46" s="24">
        <v>7.8571999999999997</v>
      </c>
      <c r="Q46" s="24">
        <v>46.085349999999998</v>
      </c>
      <c r="R46" s="24">
        <v>24.867599999999999</v>
      </c>
      <c r="S46" s="31">
        <v>3.6250000000000004E-2</v>
      </c>
      <c r="T46" s="24">
        <v>0.51249999999999996</v>
      </c>
      <c r="U46" s="31">
        <v>25.57</v>
      </c>
      <c r="V46" s="31">
        <v>3.7703999999999995</v>
      </c>
      <c r="W46" s="2"/>
    </row>
    <row r="47" spans="1:23" ht="13.5" customHeight="1">
      <c r="A47" s="7" t="s">
        <v>46</v>
      </c>
      <c r="B47" s="29">
        <v>1772.4620800000002</v>
      </c>
      <c r="C47" s="31">
        <v>805.19669999999996</v>
      </c>
      <c r="D47" s="14">
        <v>3055.7089999999998</v>
      </c>
      <c r="E47" s="29">
        <v>20023.40466</v>
      </c>
      <c r="F47" s="18">
        <v>45414.156000000003</v>
      </c>
      <c r="G47" s="14">
        <v>18447.417000000001</v>
      </c>
      <c r="H47" s="14">
        <v>10909.37</v>
      </c>
      <c r="I47" s="14">
        <f t="shared" ref="I47:I52" si="32">H47*(4.032+28.08+64)/28</f>
        <v>37447.191765714284</v>
      </c>
      <c r="J47" s="14">
        <v>1098.2550000000001</v>
      </c>
      <c r="K47" s="19">
        <v>161.999</v>
      </c>
      <c r="L47" s="19">
        <v>63.182000000000002</v>
      </c>
      <c r="M47" s="19">
        <v>3.681</v>
      </c>
      <c r="N47" s="18">
        <v>811.10799999999995</v>
      </c>
      <c r="O47" s="29">
        <v>38.457499999999996</v>
      </c>
      <c r="P47" s="24">
        <v>16.4892</v>
      </c>
      <c r="Q47" s="24">
        <v>126.81845</v>
      </c>
      <c r="R47" s="24">
        <v>80.504400000000004</v>
      </c>
      <c r="S47" s="31">
        <v>3.5225</v>
      </c>
      <c r="T47" s="24">
        <v>2.2524999999999999</v>
      </c>
      <c r="U47" s="31">
        <v>107.5575</v>
      </c>
      <c r="V47" s="31">
        <v>23.685599999999997</v>
      </c>
      <c r="W47" s="2"/>
    </row>
    <row r="48" spans="1:23" ht="13.5" customHeight="1">
      <c r="A48" s="7" t="s">
        <v>47</v>
      </c>
      <c r="B48" s="29">
        <v>2546.3152100000002</v>
      </c>
      <c r="C48" s="31">
        <v>1072.1238000000001</v>
      </c>
      <c r="D48" s="14">
        <v>3374.0160000000001</v>
      </c>
      <c r="E48" s="29">
        <v>21303.717639999999</v>
      </c>
      <c r="F48" s="18">
        <v>53100.25</v>
      </c>
      <c r="G48" s="14">
        <v>21213.75</v>
      </c>
      <c r="H48" s="14">
        <v>14975.518</v>
      </c>
      <c r="I48" s="14">
        <f t="shared" si="32"/>
        <v>51404.53521485714</v>
      </c>
      <c r="J48" s="14">
        <v>1460.2739999999999</v>
      </c>
      <c r="K48" s="20">
        <v>223.244</v>
      </c>
      <c r="L48" s="19">
        <v>86.662999999999997</v>
      </c>
      <c r="M48" s="19">
        <v>3.585</v>
      </c>
      <c r="N48" s="18">
        <v>881.91399999999999</v>
      </c>
      <c r="O48" s="29">
        <v>45.14875</v>
      </c>
      <c r="P48" s="24">
        <v>34.804900000000004</v>
      </c>
      <c r="Q48" s="24">
        <v>177.84975</v>
      </c>
      <c r="R48" s="24">
        <v>112.63079999999999</v>
      </c>
      <c r="S48" s="31">
        <v>5.8712499999999999</v>
      </c>
      <c r="T48" s="24">
        <v>2.7512500000000002</v>
      </c>
      <c r="U48" s="31">
        <v>138.625</v>
      </c>
      <c r="V48" s="31">
        <v>24.256799999999998</v>
      </c>
      <c r="W48" s="2"/>
    </row>
    <row r="49" spans="1:23" ht="13.5" customHeight="1">
      <c r="A49" s="7" t="s">
        <v>48</v>
      </c>
      <c r="B49" s="31">
        <v>3443.4239000000002</v>
      </c>
      <c r="C49" s="31">
        <v>1289.2297000000001</v>
      </c>
      <c r="D49" s="14">
        <v>3990.84</v>
      </c>
      <c r="E49" s="31">
        <v>19572.803540000001</v>
      </c>
      <c r="F49" s="18">
        <v>53717.66</v>
      </c>
      <c r="G49" s="14">
        <v>29356.16</v>
      </c>
      <c r="H49" s="14">
        <v>20731.364000000001</v>
      </c>
      <c r="I49" s="14">
        <f t="shared" si="32"/>
        <v>71161.887741714279</v>
      </c>
      <c r="J49" s="14">
        <v>1836.008</v>
      </c>
      <c r="K49" s="19">
        <v>197.50899999999999</v>
      </c>
      <c r="L49" s="19">
        <v>96.045000000000002</v>
      </c>
      <c r="M49" s="19">
        <v>4.4279999999999999</v>
      </c>
      <c r="N49" s="18">
        <v>987.553</v>
      </c>
      <c r="O49" s="29">
        <v>53.67</v>
      </c>
      <c r="P49" s="24">
        <v>20.230599999999999</v>
      </c>
      <c r="Q49" s="24">
        <v>266.92180000000002</v>
      </c>
      <c r="R49" s="24">
        <v>120.5676</v>
      </c>
      <c r="S49" s="31">
        <v>7.46</v>
      </c>
      <c r="T49" s="24">
        <v>3.1349999999999998</v>
      </c>
      <c r="U49" s="31">
        <v>170.57124999999999</v>
      </c>
      <c r="V49" s="31">
        <v>29.720399999999998</v>
      </c>
      <c r="W49" s="2"/>
    </row>
    <row r="50" spans="1:23" ht="13.5" customHeight="1">
      <c r="A50" s="7" t="s">
        <v>49</v>
      </c>
      <c r="B50" s="31">
        <v>8431.9497700000011</v>
      </c>
      <c r="C50" s="31">
        <v>2907.6817000000005</v>
      </c>
      <c r="D50" s="14">
        <v>4919.232</v>
      </c>
      <c r="E50" s="31">
        <v>24328.005940000003</v>
      </c>
      <c r="F50" s="18">
        <v>66397.380999999994</v>
      </c>
      <c r="G50" s="14">
        <v>36854.288</v>
      </c>
      <c r="H50" s="14">
        <v>27237.508999999998</v>
      </c>
      <c r="I50" s="14">
        <f t="shared" si="32"/>
        <v>93494.695178857146</v>
      </c>
      <c r="J50" s="14">
        <v>2213.3510000000001</v>
      </c>
      <c r="K50" s="19">
        <v>200.21600000000001</v>
      </c>
      <c r="L50" s="19">
        <v>127.78100000000001</v>
      </c>
      <c r="M50" s="19">
        <v>5.077</v>
      </c>
      <c r="N50" s="18">
        <v>1329.8869999999999</v>
      </c>
      <c r="O50" s="29">
        <v>78.077500000000001</v>
      </c>
      <c r="P50" s="24">
        <v>26.349699999999999</v>
      </c>
      <c r="Q50" s="24">
        <v>519.16814999999997</v>
      </c>
      <c r="R50" s="24">
        <v>198.04799999999997</v>
      </c>
      <c r="S50" s="31">
        <v>11.094999999999999</v>
      </c>
      <c r="T50" s="24">
        <v>4.8275000000000006</v>
      </c>
      <c r="U50" s="31">
        <v>263.03125</v>
      </c>
      <c r="V50" s="31">
        <v>41.247599999999998</v>
      </c>
      <c r="W50" s="2"/>
    </row>
    <row r="51" spans="1:23" ht="13.5" customHeight="1">
      <c r="A51" s="7" t="s">
        <v>50</v>
      </c>
      <c r="B51" s="31">
        <v>11671.31625</v>
      </c>
      <c r="C51" s="31">
        <v>3516.5229000000004</v>
      </c>
      <c r="D51" s="14">
        <v>4607.4660000000003</v>
      </c>
      <c r="E51" s="31">
        <v>19293.923899999998</v>
      </c>
      <c r="F51" s="18">
        <v>54576.436000000002</v>
      </c>
      <c r="G51" s="14">
        <v>32092.142</v>
      </c>
      <c r="H51" s="14">
        <v>30244.118999999999</v>
      </c>
      <c r="I51" s="14">
        <f t="shared" si="32"/>
        <v>103815.09876171428</v>
      </c>
      <c r="J51" s="14">
        <v>2594.2139999999999</v>
      </c>
      <c r="K51" s="19">
        <v>416.625</v>
      </c>
      <c r="L51" s="19">
        <v>115.718</v>
      </c>
      <c r="M51" s="19">
        <v>5.0359999999999996</v>
      </c>
      <c r="N51" s="18">
        <v>1464.0940000000001</v>
      </c>
      <c r="O51" s="29">
        <v>112.07124999999999</v>
      </c>
      <c r="P51" s="24">
        <v>22.9359</v>
      </c>
      <c r="Q51" s="24">
        <v>900.20495000000005</v>
      </c>
      <c r="R51" s="24">
        <v>262.63200000000001</v>
      </c>
      <c r="S51" s="31">
        <v>18.798749999999998</v>
      </c>
      <c r="T51" s="24">
        <v>5.7012499999999999</v>
      </c>
      <c r="U51" s="31">
        <v>261.41874999999999</v>
      </c>
      <c r="V51" s="31">
        <v>47.783999999999999</v>
      </c>
      <c r="W51" s="2"/>
    </row>
    <row r="52" spans="1:23" s="60" customFormat="1" ht="13.5" customHeight="1">
      <c r="A52" s="56" t="s">
        <v>99</v>
      </c>
      <c r="B52" s="30">
        <f>SUM(B46:B51)</f>
        <v>28696.94428</v>
      </c>
      <c r="C52" s="30">
        <f t="shared" ref="C52" si="33">SUM(C46:C51)</f>
        <v>9854.2466000000004</v>
      </c>
      <c r="D52" s="30">
        <f t="shared" ref="D52" si="34">SUM(D46:D51)</f>
        <v>24391.669000000002</v>
      </c>
      <c r="E52" s="30">
        <f t="shared" ref="E52" si="35">SUM(E46:E51)</f>
        <v>111763.44133999999</v>
      </c>
      <c r="F52" s="30">
        <f t="shared" ref="F52" si="36">SUM(F46:F51)</f>
        <v>274072.51199999999</v>
      </c>
      <c r="G52" s="30">
        <f t="shared" ref="G52" si="37">SUM(G46:G51)</f>
        <v>150371.14199999999</v>
      </c>
      <c r="H52" s="30">
        <f t="shared" ref="H52" si="38">SUM(H46:H51)</f>
        <v>111532.03700000001</v>
      </c>
      <c r="I52" s="30">
        <f t="shared" si="32"/>
        <v>382841.68357657141</v>
      </c>
      <c r="J52" s="30"/>
      <c r="K52" s="57"/>
      <c r="L52" s="57"/>
      <c r="M52" s="57"/>
      <c r="N52" s="58"/>
      <c r="O52" s="64"/>
      <c r="P52" s="62"/>
      <c r="Q52" s="62"/>
      <c r="R52" s="62"/>
      <c r="S52" s="63"/>
      <c r="T52" s="62"/>
      <c r="U52" s="63"/>
      <c r="V52" s="63"/>
      <c r="W52" s="59"/>
    </row>
    <row r="53" spans="1:23" ht="13.5" customHeight="1">
      <c r="A53" s="7" t="s">
        <v>20</v>
      </c>
      <c r="B53" s="14">
        <v>18207.25</v>
      </c>
      <c r="C53" s="14">
        <v>1793.145</v>
      </c>
      <c r="D53" s="14">
        <v>31225.16</v>
      </c>
      <c r="E53" s="14">
        <v>7004.4629999999997</v>
      </c>
      <c r="F53" s="18">
        <v>76.710999999999999</v>
      </c>
      <c r="G53" s="14">
        <v>-2.0990000000000002</v>
      </c>
      <c r="H53" s="14">
        <v>-9.7650000000000006</v>
      </c>
      <c r="I53" s="14"/>
      <c r="J53" s="14">
        <v>-6.5679999999999996</v>
      </c>
      <c r="K53" s="19">
        <v>30.99</v>
      </c>
      <c r="L53" s="19">
        <v>26.507999999999999</v>
      </c>
      <c r="M53" s="19">
        <v>13.586</v>
      </c>
      <c r="N53" s="18">
        <v>28.234999999999999</v>
      </c>
      <c r="O53" s="19">
        <v>21.084</v>
      </c>
      <c r="P53" s="19">
        <v>47.912999999999997</v>
      </c>
      <c r="Q53" s="18">
        <v>15.162000000000001</v>
      </c>
      <c r="R53" s="19">
        <v>58.993000000000002</v>
      </c>
      <c r="S53" s="18">
        <v>43.445999999999998</v>
      </c>
      <c r="T53" s="18">
        <v>10.042999999999999</v>
      </c>
      <c r="U53" s="19">
        <v>251.96700000000001</v>
      </c>
      <c r="V53" s="19">
        <v>430.73</v>
      </c>
      <c r="W53" s="2"/>
    </row>
    <row r="54" spans="1:23" ht="13.5" customHeight="1">
      <c r="A54" s="7" t="s">
        <v>83</v>
      </c>
      <c r="B54" s="14">
        <v>257.43299999999999</v>
      </c>
      <c r="C54" s="14">
        <v>235.32</v>
      </c>
      <c r="D54" s="14">
        <v>1397.287</v>
      </c>
      <c r="E54" s="14">
        <v>1315.4739999999999</v>
      </c>
      <c r="F54" s="18">
        <v>1219.3579999999999</v>
      </c>
      <c r="G54" s="14">
        <v>1406.502</v>
      </c>
      <c r="H54" s="14">
        <v>1205.152</v>
      </c>
      <c r="I54" s="14"/>
      <c r="J54" s="14">
        <v>243.19399999999999</v>
      </c>
      <c r="K54" s="20">
        <v>248.78700000000001</v>
      </c>
      <c r="L54" s="19">
        <v>12.425000000000001</v>
      </c>
      <c r="M54" s="19">
        <v>11.525</v>
      </c>
      <c r="N54" s="18">
        <v>263.42</v>
      </c>
      <c r="O54" s="19">
        <v>13.026999999999999</v>
      </c>
      <c r="P54" s="19">
        <v>12.679</v>
      </c>
      <c r="Q54" s="18">
        <v>11.423999999999999</v>
      </c>
      <c r="R54" s="19">
        <v>9.9309999999999992</v>
      </c>
      <c r="S54" s="18">
        <v>11.827</v>
      </c>
      <c r="T54" s="18">
        <v>12.992000000000001</v>
      </c>
      <c r="U54" s="19">
        <v>13.571999999999999</v>
      </c>
      <c r="V54" s="19">
        <v>14.198</v>
      </c>
      <c r="W54" s="2"/>
    </row>
    <row r="55" spans="1:23" s="55" customFormat="1" ht="13.5" customHeight="1">
      <c r="A55" s="50" t="s">
        <v>91</v>
      </c>
      <c r="B55" s="45">
        <f>B$4/B53</f>
        <v>1.0342034079830837</v>
      </c>
      <c r="C55" s="45">
        <f>C$4/C53</f>
        <v>1.0777711785717272</v>
      </c>
      <c r="D55" s="45">
        <f>D$4/D53</f>
        <v>0.94250918169834841</v>
      </c>
      <c r="E55" s="45">
        <f>E$4/E53</f>
        <v>1.0641786529531243</v>
      </c>
      <c r="F55" s="45">
        <f>1500/F54</f>
        <v>1.2301555408665872</v>
      </c>
      <c r="G55" s="45">
        <f>1500/G54</f>
        <v>1.0664755542473456</v>
      </c>
      <c r="H55" s="45">
        <f>1500/H54</f>
        <v>1.2446562757228963</v>
      </c>
      <c r="I55" s="52"/>
      <c r="J55" s="45">
        <f>250/J54</f>
        <v>1.0279858878097321</v>
      </c>
      <c r="K55" s="53">
        <v>1</v>
      </c>
      <c r="L55" s="51">
        <f t="shared" ref="L55:T55" si="39">L4/L53</f>
        <v>1.3607212916855289</v>
      </c>
      <c r="M55" s="51">
        <f t="shared" si="39"/>
        <v>1.3616958633887826</v>
      </c>
      <c r="N55" s="51">
        <f t="shared" si="39"/>
        <v>1.3153887019656456</v>
      </c>
      <c r="O55" s="51">
        <f t="shared" si="39"/>
        <v>1.1999620565357618</v>
      </c>
      <c r="P55" s="51">
        <f t="shared" si="39"/>
        <v>1.2480955064387536</v>
      </c>
      <c r="Q55" s="51">
        <f t="shared" si="39"/>
        <v>1.4285714285714286</v>
      </c>
      <c r="R55" s="51">
        <f t="shared" si="39"/>
        <v>1.2611665790856543</v>
      </c>
      <c r="S55" s="51">
        <f t="shared" si="39"/>
        <v>1.321640657367767</v>
      </c>
      <c r="T55" s="51">
        <f t="shared" si="39"/>
        <v>1.2585880712934383</v>
      </c>
      <c r="U55" s="51">
        <v>1.25</v>
      </c>
      <c r="V55" s="51">
        <v>1.2</v>
      </c>
      <c r="W55" s="54"/>
    </row>
    <row r="56" spans="1:23" ht="13.5" customHeight="1">
      <c r="A56" s="7" t="s">
        <v>51</v>
      </c>
      <c r="B56" s="24">
        <v>906.41565000000003</v>
      </c>
      <c r="C56" s="29">
        <v>273.64920000000001</v>
      </c>
      <c r="D56" s="14">
        <v>3759.152</v>
      </c>
      <c r="E56" s="24">
        <v>6778.1878999999999</v>
      </c>
      <c r="F56" s="18">
        <v>299.49299999999999</v>
      </c>
      <c r="G56" s="14">
        <v>9234.1450000000004</v>
      </c>
      <c r="H56" s="14">
        <v>5299.4040000000005</v>
      </c>
      <c r="I56" s="14">
        <f>H56*(4.032+28.08+64)/28</f>
        <v>18190.582758857145</v>
      </c>
      <c r="J56" s="14">
        <v>-5.7110000000000003</v>
      </c>
      <c r="K56" s="33">
        <v>6.1516000000000002</v>
      </c>
      <c r="L56" s="19">
        <v>-4.9000000000000002E-2</v>
      </c>
      <c r="M56" s="19">
        <v>9.0359999999999996</v>
      </c>
      <c r="N56" s="18">
        <v>207.30199999999999</v>
      </c>
      <c r="O56" s="29">
        <v>17.778750000000002</v>
      </c>
      <c r="P56" s="24">
        <v>10.5352</v>
      </c>
      <c r="Q56" s="24">
        <v>53.473099999999995</v>
      </c>
      <c r="R56" s="24">
        <v>34.033999999999999</v>
      </c>
      <c r="S56" s="31">
        <f>0.136*(S5/S54)</f>
        <v>1.3030708345512482E-2</v>
      </c>
      <c r="T56" s="24">
        <v>0.52749999999999997</v>
      </c>
      <c r="U56" s="31">
        <v>20.331250000000001</v>
      </c>
      <c r="V56" s="31">
        <v>5.1479999999999997</v>
      </c>
      <c r="W56" s="2"/>
    </row>
    <row r="57" spans="1:23" ht="13.5" customHeight="1">
      <c r="A57" s="7" t="s">
        <v>52</v>
      </c>
      <c r="B57" s="24">
        <v>2060.3541</v>
      </c>
      <c r="C57" s="29">
        <v>908.67920000000004</v>
      </c>
      <c r="D57" s="14">
        <v>2795.1170000000002</v>
      </c>
      <c r="E57" s="24">
        <v>16683.131300000001</v>
      </c>
      <c r="F57" s="18">
        <v>37917.483</v>
      </c>
      <c r="G57" s="14">
        <v>17579.07</v>
      </c>
      <c r="H57" s="14">
        <v>11900.382</v>
      </c>
      <c r="I57" s="14">
        <f t="shared" ref="I57:I62" si="40">H57*(4.032+28.08+64)/28</f>
        <v>40848.911242285707</v>
      </c>
      <c r="J57" s="14">
        <v>744.17600000000004</v>
      </c>
      <c r="K57" s="33">
        <v>199.45770000000002</v>
      </c>
      <c r="L57" s="20">
        <v>55.796999999999997</v>
      </c>
      <c r="M57" s="19">
        <v>2.33</v>
      </c>
      <c r="N57" s="18">
        <v>634.71400000000006</v>
      </c>
      <c r="O57" s="29">
        <v>35.884999999999998</v>
      </c>
      <c r="P57" s="24">
        <v>14.725100000000001</v>
      </c>
      <c r="Q57" s="24">
        <v>85.370199999999997</v>
      </c>
      <c r="R57" s="24">
        <v>77.772500000000008</v>
      </c>
      <c r="S57" s="31" t="e">
        <f>2.267*(#REF!/S55)</f>
        <v>#REF!</v>
      </c>
      <c r="T57" s="24">
        <v>2.0362499999999999</v>
      </c>
      <c r="U57" s="31">
        <v>92.621249999999989</v>
      </c>
      <c r="V57" s="31">
        <v>18.207599999999999</v>
      </c>
      <c r="W57" s="2"/>
    </row>
    <row r="58" spans="1:23" ht="13.5" customHeight="1">
      <c r="A58" s="7" t="s">
        <v>53</v>
      </c>
      <c r="B58" s="24">
        <v>3838.67085</v>
      </c>
      <c r="C58" s="29">
        <v>1849.0967000000003</v>
      </c>
      <c r="D58" s="14">
        <v>3484.2060000000001</v>
      </c>
      <c r="E58" s="24">
        <v>23601.387700000003</v>
      </c>
      <c r="F58" s="18">
        <v>58182.593999999997</v>
      </c>
      <c r="G58" s="14">
        <v>24241.305</v>
      </c>
      <c r="H58" s="14">
        <v>17336.848999999998</v>
      </c>
      <c r="I58" s="14">
        <f t="shared" si="40"/>
        <v>59509.972538857131</v>
      </c>
      <c r="J58" s="14">
        <v>1320.845</v>
      </c>
      <c r="K58" s="33">
        <v>178.66680000000002</v>
      </c>
      <c r="L58" s="19">
        <v>97.287999999999997</v>
      </c>
      <c r="M58" s="19">
        <v>3.637</v>
      </c>
      <c r="N58" s="18">
        <v>961.779</v>
      </c>
      <c r="O58" s="29">
        <v>59.671250000000001</v>
      </c>
      <c r="P58" s="24">
        <v>22.907299999999999</v>
      </c>
      <c r="Q58" s="24">
        <v>181.08324999999999</v>
      </c>
      <c r="R58" s="24">
        <v>127.66390000000001</v>
      </c>
      <c r="S58" s="31" t="e">
        <f>3.685*(#REF!/S56)</f>
        <v>#REF!</v>
      </c>
      <c r="T58" s="24">
        <v>3.2062499999999998</v>
      </c>
      <c r="U58" s="31">
        <v>160.63999999999999</v>
      </c>
      <c r="V58" s="31">
        <v>27.929999999999996</v>
      </c>
      <c r="W58" s="2"/>
    </row>
    <row r="59" spans="1:23" ht="13.5" customHeight="1">
      <c r="A59" s="7" t="s">
        <v>54</v>
      </c>
      <c r="B59" s="24">
        <v>4305.0157500000005</v>
      </c>
      <c r="C59" s="29">
        <v>1355.8842000000002</v>
      </c>
      <c r="D59" s="14">
        <v>3261.9229999999998</v>
      </c>
      <c r="E59" s="24">
        <v>15128.851100000002</v>
      </c>
      <c r="F59" s="18">
        <v>36497.514999999999</v>
      </c>
      <c r="G59" s="14">
        <v>27372.404999999999</v>
      </c>
      <c r="H59" s="34">
        <v>17899.690810000004</v>
      </c>
      <c r="I59" s="14">
        <f t="shared" si="40"/>
        <v>61441.967254668583</v>
      </c>
      <c r="J59" s="14">
        <v>960.34199999999998</v>
      </c>
      <c r="K59" s="33">
        <v>178.14419999999998</v>
      </c>
      <c r="L59" s="19">
        <v>64.027000000000001</v>
      </c>
      <c r="M59" s="19">
        <v>4.0439999999999996</v>
      </c>
      <c r="N59" s="18">
        <v>630.78700000000003</v>
      </c>
      <c r="O59" s="29">
        <v>43.775000000000006</v>
      </c>
      <c r="P59" s="24">
        <v>14.914900000000001</v>
      </c>
      <c r="Q59" s="24">
        <v>156.23025000000001</v>
      </c>
      <c r="R59" s="24">
        <v>89.742900000000006</v>
      </c>
      <c r="S59" s="31" t="e">
        <f>3.354*(#REF!/S57)</f>
        <v>#REF!</v>
      </c>
      <c r="T59" s="24">
        <v>2.3937499999999998</v>
      </c>
      <c r="U59" s="31">
        <v>124.03750000000001</v>
      </c>
      <c r="V59" s="31">
        <v>21.730800000000002</v>
      </c>
      <c r="W59" s="2"/>
    </row>
    <row r="60" spans="1:23" ht="13.5" customHeight="1">
      <c r="A60" s="7" t="s">
        <v>55</v>
      </c>
      <c r="B60" s="24">
        <v>8059.8042000000005</v>
      </c>
      <c r="C60" s="29">
        <v>2528.3027000000002</v>
      </c>
      <c r="D60" s="14">
        <v>3584.2220000000002</v>
      </c>
      <c r="E60" s="24">
        <v>16018.6499</v>
      </c>
      <c r="F60" s="18">
        <v>37460.815000000002</v>
      </c>
      <c r="G60" s="14">
        <v>23160.66</v>
      </c>
      <c r="H60" s="34">
        <v>19176.795730000002</v>
      </c>
      <c r="I60" s="14">
        <f t="shared" si="40"/>
        <v>65825.721114348577</v>
      </c>
      <c r="J60" s="14">
        <v>1798.423</v>
      </c>
      <c r="K60" s="33">
        <v>474.76</v>
      </c>
      <c r="L60" s="19">
        <v>71.102999999999994</v>
      </c>
      <c r="M60" s="19">
        <v>4.8209999999999997</v>
      </c>
      <c r="N60" s="18">
        <v>915.02800000000002</v>
      </c>
      <c r="O60" s="29">
        <v>64.89</v>
      </c>
      <c r="P60" s="24">
        <v>15.4596</v>
      </c>
      <c r="Q60" s="24">
        <v>305.28444999999999</v>
      </c>
      <c r="R60" s="24">
        <v>149.82500000000002</v>
      </c>
      <c r="S60" s="31" t="e">
        <f>5.791*(#REF!/S58)</f>
        <v>#REF!</v>
      </c>
      <c r="T60" s="24">
        <v>3.5749999999999997</v>
      </c>
      <c r="U60" s="31">
        <v>180.5625</v>
      </c>
      <c r="V60" s="31">
        <v>31.204799999999999</v>
      </c>
      <c r="W60" s="2"/>
    </row>
    <row r="61" spans="1:23" ht="13.5" customHeight="1">
      <c r="A61" s="7" t="s">
        <v>56</v>
      </c>
      <c r="B61" s="24">
        <v>14593.447050000001</v>
      </c>
      <c r="C61" s="29">
        <v>5869.4063999999998</v>
      </c>
      <c r="D61" s="15">
        <v>23932.058000000001</v>
      </c>
      <c r="E61" s="24">
        <v>38089.114800000003</v>
      </c>
      <c r="F61" s="18">
        <v>52282.623</v>
      </c>
      <c r="G61" s="14">
        <v>70307.494999999995</v>
      </c>
      <c r="H61" s="34">
        <v>56266.869129999999</v>
      </c>
      <c r="I61" s="14">
        <f t="shared" si="40"/>
        <v>193140.04735080569</v>
      </c>
      <c r="J61" s="15">
        <v>18.277000000000001</v>
      </c>
      <c r="K61" s="33">
        <v>35.409399999999998</v>
      </c>
      <c r="L61" s="19">
        <v>0.84299999999999997</v>
      </c>
      <c r="M61" s="19">
        <v>12.368</v>
      </c>
      <c r="N61" s="18">
        <v>2213.0279999999998</v>
      </c>
      <c r="O61" s="29">
        <v>299.07</v>
      </c>
      <c r="P61" s="24">
        <v>41.168399999999998</v>
      </c>
      <c r="Q61" s="24">
        <v>1135.7719500000001</v>
      </c>
      <c r="R61" s="24">
        <v>469.04390000000001</v>
      </c>
      <c r="S61" s="31" t="e">
        <f>0.168*(S6/S59)</f>
        <v>#REF!</v>
      </c>
      <c r="T61" s="24">
        <v>7.6949999999999994</v>
      </c>
      <c r="U61" s="31">
        <v>358.33875</v>
      </c>
      <c r="V61" s="31">
        <v>47.470799999999997</v>
      </c>
      <c r="W61" s="2"/>
    </row>
    <row r="62" spans="1:23" s="60" customFormat="1" ht="13.5" customHeight="1">
      <c r="A62" s="56" t="s">
        <v>100</v>
      </c>
      <c r="B62" s="30">
        <f>SUM(B56:B61)</f>
        <v>33763.707600000002</v>
      </c>
      <c r="C62" s="30">
        <f t="shared" ref="C62" si="41">SUM(C56:C61)</f>
        <v>12785.018400000001</v>
      </c>
      <c r="D62" s="30">
        <f t="shared" ref="D62" si="42">SUM(D56:D61)</f>
        <v>40816.678</v>
      </c>
      <c r="E62" s="30">
        <f t="shared" ref="E62" si="43">SUM(E56:E61)</f>
        <v>116299.32270000002</v>
      </c>
      <c r="F62" s="30">
        <f t="shared" ref="F62" si="44">SUM(F56:F61)</f>
        <v>222640.52300000002</v>
      </c>
      <c r="G62" s="30">
        <f t="shared" ref="G62" si="45">SUM(G56:G61)</f>
        <v>171895.08000000002</v>
      </c>
      <c r="H62" s="30">
        <f t="shared" ref="H62" si="46">SUM(H56:H61)</f>
        <v>127879.99067</v>
      </c>
      <c r="I62" s="30">
        <f t="shared" si="40"/>
        <v>438957.20225982281</v>
      </c>
      <c r="J62" s="61"/>
      <c r="K62" s="65"/>
      <c r="L62" s="57"/>
      <c r="M62" s="57"/>
      <c r="N62" s="58"/>
      <c r="O62" s="64"/>
      <c r="P62" s="62"/>
      <c r="Q62" s="62"/>
      <c r="R62" s="62"/>
      <c r="S62" s="63"/>
      <c r="T62" s="62"/>
      <c r="U62" s="63"/>
      <c r="V62" s="63"/>
      <c r="W62" s="59"/>
    </row>
    <row r="63" spans="1:23" ht="13.5" customHeight="1">
      <c r="A63" s="7" t="s">
        <v>20</v>
      </c>
      <c r="B63" s="14">
        <v>17381.543000000001</v>
      </c>
      <c r="C63" s="14">
        <v>1703.77</v>
      </c>
      <c r="D63" s="14">
        <v>29766.719000000001</v>
      </c>
      <c r="E63" s="17">
        <v>6599.8609999999999</v>
      </c>
      <c r="F63" s="18">
        <v>73.938999999999993</v>
      </c>
      <c r="G63" s="14">
        <v>-6.2089999999999996</v>
      </c>
      <c r="H63" s="14">
        <v>-19.347000000000001</v>
      </c>
      <c r="I63" s="14"/>
      <c r="J63" s="14">
        <v>-6.5359999999999996</v>
      </c>
      <c r="K63" s="19">
        <v>29.396999999999998</v>
      </c>
      <c r="L63" s="19">
        <v>25.395</v>
      </c>
      <c r="M63" s="19">
        <v>13.061999999999999</v>
      </c>
      <c r="N63" s="18">
        <v>27.259</v>
      </c>
      <c r="O63" s="19">
        <v>20.265000000000001</v>
      </c>
      <c r="P63" s="19">
        <v>46.070999999999998</v>
      </c>
      <c r="Q63" s="18">
        <v>14.488</v>
      </c>
      <c r="R63" s="19">
        <v>56.442</v>
      </c>
      <c r="S63" s="18">
        <v>41.648000000000003</v>
      </c>
      <c r="T63" s="18">
        <v>9.5609999999999999</v>
      </c>
      <c r="U63" s="19">
        <v>241.911</v>
      </c>
      <c r="V63" s="19">
        <v>421.25799999999998</v>
      </c>
      <c r="W63" s="2"/>
    </row>
    <row r="64" spans="1:23" ht="13.5" customHeight="1">
      <c r="A64" s="7" t="s">
        <v>83</v>
      </c>
      <c r="B64" s="14">
        <v>254.268</v>
      </c>
      <c r="C64" s="14">
        <v>225.78200000000001</v>
      </c>
      <c r="D64" s="14">
        <v>1345.8</v>
      </c>
      <c r="E64" s="14">
        <v>1294.8869999999999</v>
      </c>
      <c r="F64" s="18">
        <v>1259.5139999999999</v>
      </c>
      <c r="G64" s="14">
        <v>1385.499</v>
      </c>
      <c r="H64" s="34">
        <v>1217.7348999999999</v>
      </c>
      <c r="I64" s="14"/>
      <c r="J64" s="14">
        <v>232.75</v>
      </c>
      <c r="K64" s="19">
        <v>210.33</v>
      </c>
      <c r="L64" s="19">
        <v>12.157</v>
      </c>
      <c r="M64" s="19">
        <v>11.247999999999999</v>
      </c>
      <c r="N64" s="18">
        <v>256.75799999999998</v>
      </c>
      <c r="O64" s="19">
        <v>12.643000000000001</v>
      </c>
      <c r="P64" s="19">
        <v>12.327</v>
      </c>
      <c r="Q64" s="18">
        <v>11.071999999999999</v>
      </c>
      <c r="R64" s="19">
        <v>9.4689999999999994</v>
      </c>
      <c r="S64" s="18">
        <v>11.315</v>
      </c>
      <c r="T64" s="18">
        <v>12.5</v>
      </c>
      <c r="U64" s="19">
        <v>13.167999999999999</v>
      </c>
      <c r="V64" s="19">
        <v>13.701000000000001</v>
      </c>
      <c r="W64" s="2"/>
    </row>
    <row r="65" spans="1:23" s="49" customFormat="1" ht="13.5" customHeight="1">
      <c r="A65" s="44" t="s">
        <v>92</v>
      </c>
      <c r="B65" s="45">
        <f>B$4/B63</f>
        <v>1.0833330504662331</v>
      </c>
      <c r="C65" s="45">
        <f>C$4/C63</f>
        <v>1.1343080345351779</v>
      </c>
      <c r="D65" s="45">
        <f>D$4/D63</f>
        <v>0.98868807139947135</v>
      </c>
      <c r="E65" s="45">
        <f>E$4/E63</f>
        <v>1.1294177256157365</v>
      </c>
      <c r="F65" s="45">
        <f>1500/F64</f>
        <v>1.1909355513317041</v>
      </c>
      <c r="G65" s="45">
        <f t="shared" ref="G65:H65" si="47">1500/G64</f>
        <v>1.0826424270244872</v>
      </c>
      <c r="H65" s="45">
        <f t="shared" si="47"/>
        <v>1.2317951961465505</v>
      </c>
      <c r="I65" s="46"/>
      <c r="J65" s="45">
        <f>250/J64</f>
        <v>1.0741138560687433</v>
      </c>
      <c r="K65" s="47">
        <v>1</v>
      </c>
      <c r="L65" s="45">
        <f>L4/L63</f>
        <v>1.4203583382555622</v>
      </c>
      <c r="M65" s="45">
        <f>M4/M63</f>
        <v>1.4163221558719952</v>
      </c>
      <c r="N65" s="45">
        <f>N4/N63</f>
        <v>1.3624857845115375</v>
      </c>
      <c r="O65" s="45">
        <v>1.25</v>
      </c>
      <c r="P65" s="45">
        <v>1.3</v>
      </c>
      <c r="Q65" s="45">
        <v>1.5</v>
      </c>
      <c r="R65" s="45">
        <v>1.3</v>
      </c>
      <c r="S65" s="45">
        <v>1.4</v>
      </c>
      <c r="T65" s="45">
        <v>1.33</v>
      </c>
      <c r="U65" s="45">
        <v>1.31</v>
      </c>
      <c r="V65" s="45">
        <v>1.23</v>
      </c>
      <c r="W65" s="48"/>
    </row>
    <row r="66" spans="1:23" ht="13.5" customHeight="1">
      <c r="A66" s="7" t="s">
        <v>57</v>
      </c>
      <c r="B66" s="32">
        <v>1461.2873000000002</v>
      </c>
      <c r="C66" s="32">
        <v>350.17844999999994</v>
      </c>
      <c r="D66" s="32">
        <v>4091.6799000000001</v>
      </c>
      <c r="E66" s="32">
        <v>6262.2743999999993</v>
      </c>
      <c r="F66" s="18">
        <v>1201.22</v>
      </c>
      <c r="G66" s="14">
        <v>6689.018</v>
      </c>
      <c r="H66" s="34">
        <v>3979.0132800000006</v>
      </c>
      <c r="I66" s="14">
        <f>H66*(4.032+28.08+64)/28</f>
        <v>13658.247298834287</v>
      </c>
      <c r="J66" s="14">
        <v>-8.4719999999999995</v>
      </c>
      <c r="K66" s="33">
        <v>6.0307000000000004</v>
      </c>
      <c r="L66" s="19">
        <v>-6.4000000000000001E-2</v>
      </c>
      <c r="M66" s="19">
        <v>2.6280000000000001</v>
      </c>
      <c r="N66" s="18">
        <v>188.94399999999999</v>
      </c>
      <c r="O66" s="32">
        <v>13.665600000000001</v>
      </c>
      <c r="P66" s="31">
        <v>6.2032499999999997</v>
      </c>
      <c r="Q66" s="24">
        <v>66.557999999999993</v>
      </c>
      <c r="R66" s="24">
        <v>19.1633</v>
      </c>
      <c r="S66" s="24">
        <v>3.3599999999999998E-2</v>
      </c>
      <c r="T66" s="24">
        <v>0.53200000000000003</v>
      </c>
      <c r="U66" s="24">
        <v>24.85463</v>
      </c>
      <c r="V66" s="24">
        <v>1.6518899999999999</v>
      </c>
      <c r="W66" s="2"/>
    </row>
    <row r="67" spans="1:23" ht="13.5" customHeight="1">
      <c r="A67" s="7" t="s">
        <v>58</v>
      </c>
      <c r="B67" s="32">
        <v>5035.2302</v>
      </c>
      <c r="C67" s="32">
        <v>2104.5724500000001</v>
      </c>
      <c r="D67" s="32">
        <v>5284.6596</v>
      </c>
      <c r="E67" s="32">
        <v>33063.610799999995</v>
      </c>
      <c r="F67" s="18">
        <v>71008.572</v>
      </c>
      <c r="G67" s="14">
        <v>29306.006000000001</v>
      </c>
      <c r="H67" s="34">
        <v>17735.543180000001</v>
      </c>
      <c r="I67" s="14">
        <f t="shared" ref="I67:I71" si="48">H67*(4.032+28.08+64)/28</f>
        <v>60878.518789862857</v>
      </c>
      <c r="J67" s="14">
        <v>1743.5239999999999</v>
      </c>
      <c r="K67" s="33">
        <v>248.78749999999999</v>
      </c>
      <c r="L67" s="19">
        <v>97.813999999999993</v>
      </c>
      <c r="M67" s="19">
        <v>5.6289999999999996</v>
      </c>
      <c r="N67" s="18">
        <v>1015.145</v>
      </c>
      <c r="O67" s="32">
        <v>76.107199999999992</v>
      </c>
      <c r="P67" s="31">
        <v>28.5444</v>
      </c>
      <c r="Q67" s="24">
        <v>388.06349999999998</v>
      </c>
      <c r="R67" s="24">
        <v>182.25870000000003</v>
      </c>
      <c r="S67" s="24">
        <v>5.649</v>
      </c>
      <c r="T67" s="24">
        <v>3.6295700000000002</v>
      </c>
      <c r="U67" s="24">
        <v>156.15724</v>
      </c>
      <c r="V67" s="24">
        <v>31.801649999999999</v>
      </c>
      <c r="W67" s="2"/>
    </row>
    <row r="68" spans="1:23" ht="13.5" customHeight="1">
      <c r="A68" s="7" t="s">
        <v>59</v>
      </c>
      <c r="B68" s="32">
        <v>7999.915</v>
      </c>
      <c r="C68" s="32">
        <v>3066.6083999999996</v>
      </c>
      <c r="D68" s="32">
        <v>5237.3915000000006</v>
      </c>
      <c r="E68" s="32">
        <v>39361.729199999994</v>
      </c>
      <c r="F68" s="18">
        <v>87685.778999999995</v>
      </c>
      <c r="G68" s="14">
        <v>35722.593999999997</v>
      </c>
      <c r="H68" s="34">
        <v>26987.335630000001</v>
      </c>
      <c r="I68" s="14">
        <f t="shared" si="48"/>
        <v>92635.957216805706</v>
      </c>
      <c r="J68" s="14">
        <v>2704.5810000000001</v>
      </c>
      <c r="K68" s="33">
        <v>269.47829999999999</v>
      </c>
      <c r="L68" s="19">
        <v>153.001</v>
      </c>
      <c r="M68" s="19">
        <v>7.7859999999999996</v>
      </c>
      <c r="N68" s="18">
        <v>1357.289</v>
      </c>
      <c r="O68" s="32">
        <v>116.70489999999999</v>
      </c>
      <c r="P68" s="31">
        <v>41.083199999999998</v>
      </c>
      <c r="Q68" s="24">
        <v>720.76350000000002</v>
      </c>
      <c r="R68" s="24">
        <v>286.9581</v>
      </c>
      <c r="S68" s="24">
        <v>8.8704000000000001</v>
      </c>
      <c r="T68" s="24">
        <v>4.4581600000000003</v>
      </c>
      <c r="U68" s="24">
        <v>227.79328000000001</v>
      </c>
      <c r="V68" s="24">
        <v>42.427619999999997</v>
      </c>
      <c r="W68" s="2"/>
    </row>
    <row r="69" spans="1:23" ht="13.5" customHeight="1">
      <c r="A69" s="7" t="s">
        <v>60</v>
      </c>
      <c r="B69" s="32">
        <v>8754.5172000000002</v>
      </c>
      <c r="C69" s="32">
        <v>2914.2782499999998</v>
      </c>
      <c r="D69" s="32">
        <v>5505.7970000000005</v>
      </c>
      <c r="E69" s="32">
        <v>26030.7912</v>
      </c>
      <c r="F69" s="18">
        <v>60772.828999999998</v>
      </c>
      <c r="G69" s="14">
        <v>43662.466999999997</v>
      </c>
      <c r="H69" s="42">
        <v>32348.621954048005</v>
      </c>
      <c r="I69" s="14">
        <f t="shared" si="48"/>
        <v>111038.95547312363</v>
      </c>
      <c r="J69" s="14">
        <v>3132.4270000000001</v>
      </c>
      <c r="K69" s="33">
        <v>585.15210000000002</v>
      </c>
      <c r="L69" s="19">
        <v>119.723</v>
      </c>
      <c r="M69" s="19">
        <v>7.665</v>
      </c>
      <c r="N69" s="18">
        <v>1303.472</v>
      </c>
      <c r="O69" s="32">
        <v>111.46979999999999</v>
      </c>
      <c r="P69" s="31">
        <v>29.729700000000001</v>
      </c>
      <c r="Q69" s="24">
        <v>920.54700000000003</v>
      </c>
      <c r="R69" s="24">
        <v>277.39010000000002</v>
      </c>
      <c r="S69" s="24">
        <v>10.942399999999999</v>
      </c>
      <c r="T69" s="24">
        <v>4.0884200000000002</v>
      </c>
      <c r="U69" s="24">
        <v>225.64618999999999</v>
      </c>
      <c r="V69" s="24">
        <v>46.79166</v>
      </c>
      <c r="W69" s="2"/>
    </row>
    <row r="70" spans="1:23" ht="13.5" customHeight="1">
      <c r="A70" s="7" t="s">
        <v>61</v>
      </c>
      <c r="B70" s="32">
        <v>12740.941400000002</v>
      </c>
      <c r="C70" s="32">
        <v>3842.3029499999993</v>
      </c>
      <c r="D70" s="32">
        <v>13831.1217</v>
      </c>
      <c r="E70" s="32">
        <v>44898.539999999994</v>
      </c>
      <c r="F70" s="18">
        <v>115974.326</v>
      </c>
      <c r="G70" s="14">
        <v>53893.394999999997</v>
      </c>
      <c r="H70" s="42">
        <v>49735.289285398001</v>
      </c>
      <c r="I70" s="14">
        <f t="shared" si="48"/>
        <v>170719.93299279184</v>
      </c>
      <c r="J70" s="14">
        <v>4104.6459999999997</v>
      </c>
      <c r="K70" s="33">
        <v>1676.6919</v>
      </c>
      <c r="L70" s="19">
        <v>271.43299999999999</v>
      </c>
      <c r="M70" s="19">
        <v>9.6679999999999993</v>
      </c>
      <c r="N70" s="18">
        <v>1591.4549999999999</v>
      </c>
      <c r="O70" s="32">
        <v>166.87580000000003</v>
      </c>
      <c r="P70" s="31">
        <v>44.053199999999997</v>
      </c>
      <c r="Q70" s="24">
        <v>1209.3405</v>
      </c>
      <c r="R70" s="24">
        <v>676.07540000000006</v>
      </c>
      <c r="S70" s="24">
        <v>29.735999999999997</v>
      </c>
      <c r="T70" s="24">
        <v>5.3692099999999998</v>
      </c>
      <c r="U70" s="24">
        <v>322.00193000000002</v>
      </c>
      <c r="V70" s="24">
        <v>65.797619999999995</v>
      </c>
      <c r="W70" s="2"/>
    </row>
    <row r="71" spans="1:23" ht="13.5" customHeight="1">
      <c r="A71" s="7" t="s">
        <v>62</v>
      </c>
      <c r="B71" s="32">
        <v>14471.054400000003</v>
      </c>
      <c r="C71" s="32">
        <v>6331.5273999999999</v>
      </c>
      <c r="D71" s="32">
        <v>19607.934500000003</v>
      </c>
      <c r="E71" s="32">
        <v>26409.191999999999</v>
      </c>
      <c r="F71" s="18">
        <v>35009.31</v>
      </c>
      <c r="G71" s="14">
        <v>46820.046000000002</v>
      </c>
      <c r="H71" s="42">
        <v>57003.497319842005</v>
      </c>
      <c r="I71" s="14">
        <f t="shared" si="48"/>
        <v>195668.57622873766</v>
      </c>
      <c r="J71" s="14">
        <v>3926.1840000000002</v>
      </c>
      <c r="K71" s="33">
        <v>25.022400000000001</v>
      </c>
      <c r="L71" s="19">
        <v>5.7000000000000002E-2</v>
      </c>
      <c r="M71" s="19">
        <v>5.3159999999999998</v>
      </c>
      <c r="N71" s="18">
        <v>2476.9520000000002</v>
      </c>
      <c r="O71" s="32">
        <v>422.28550000000001</v>
      </c>
      <c r="P71" s="31">
        <v>27.129600000000003</v>
      </c>
      <c r="Q71" s="24">
        <v>2385.462</v>
      </c>
      <c r="R71" s="24">
        <v>552.07230000000004</v>
      </c>
      <c r="S71" s="24">
        <v>0.12319999999999999</v>
      </c>
      <c r="T71" s="24">
        <v>7.1301300000000003</v>
      </c>
      <c r="U71" s="24">
        <v>458.28778000000005</v>
      </c>
      <c r="V71" s="24">
        <v>33.000899999999994</v>
      </c>
      <c r="W71" s="2"/>
    </row>
    <row r="72" spans="1:23" s="60" customFormat="1" ht="13.5" customHeight="1">
      <c r="A72" s="56" t="s">
        <v>101</v>
      </c>
      <c r="B72" s="30">
        <f>SUM(B66:B71)</f>
        <v>50462.945500000002</v>
      </c>
      <c r="C72" s="30">
        <f t="shared" ref="C72:I72" si="49">SUM(C66:C71)</f>
        <v>18609.4679</v>
      </c>
      <c r="D72" s="30">
        <f t="shared" si="49"/>
        <v>53558.584199999998</v>
      </c>
      <c r="E72" s="30">
        <f t="shared" si="49"/>
        <v>176026.13759999999</v>
      </c>
      <c r="F72" s="30">
        <f t="shared" si="49"/>
        <v>371652.03600000002</v>
      </c>
      <c r="G72" s="30">
        <f t="shared" si="49"/>
        <v>216093.52599999998</v>
      </c>
      <c r="H72" s="30">
        <f t="shared" si="49"/>
        <v>187789.30064928799</v>
      </c>
      <c r="I72" s="30">
        <f t="shared" si="49"/>
        <v>644600.18800015608</v>
      </c>
      <c r="J72" s="30"/>
      <c r="K72" s="65"/>
      <c r="L72" s="57"/>
      <c r="M72" s="57"/>
      <c r="N72" s="58"/>
      <c r="O72" s="66"/>
      <c r="P72" s="63"/>
      <c r="Q72" s="62"/>
      <c r="R72" s="62"/>
      <c r="S72" s="62"/>
      <c r="T72" s="62"/>
      <c r="U72" s="62"/>
      <c r="V72" s="62"/>
      <c r="W72" s="59"/>
    </row>
    <row r="73" spans="1:23" ht="13.5" customHeight="1">
      <c r="A73" s="7" t="s">
        <v>20</v>
      </c>
      <c r="B73" s="14">
        <v>16699.934000000001</v>
      </c>
      <c r="C73" s="14">
        <v>1647.828</v>
      </c>
      <c r="D73" s="15">
        <v>27679.096000000001</v>
      </c>
      <c r="E73" s="14">
        <v>5972.7790000000005</v>
      </c>
      <c r="F73" s="18">
        <v>73.900999999999996</v>
      </c>
      <c r="G73" s="14">
        <v>-11.243</v>
      </c>
      <c r="H73" s="14">
        <v>-16.539000000000001</v>
      </c>
      <c r="I73" s="14"/>
      <c r="J73" s="14">
        <v>-6.6</v>
      </c>
      <c r="K73" s="19">
        <v>28.087</v>
      </c>
      <c r="L73" s="19">
        <v>24.329000000000001</v>
      </c>
      <c r="M73" s="19">
        <v>12.584</v>
      </c>
      <c r="N73" s="18">
        <v>26.222000000000001</v>
      </c>
      <c r="O73" s="19">
        <v>19.524999999999999</v>
      </c>
      <c r="P73" s="19">
        <v>44.356000000000002</v>
      </c>
      <c r="Q73" s="18">
        <v>14.023</v>
      </c>
      <c r="R73" s="19">
        <v>54.441000000000003</v>
      </c>
      <c r="S73" s="18">
        <v>40.444000000000003</v>
      </c>
      <c r="T73" s="18">
        <v>9.3019999999999996</v>
      </c>
      <c r="U73" s="19">
        <v>237.38</v>
      </c>
      <c r="V73" s="19">
        <v>416.59699999999998</v>
      </c>
      <c r="W73" s="2"/>
    </row>
    <row r="74" spans="1:23" ht="13.5" customHeight="1">
      <c r="A74" s="7" t="s">
        <v>83</v>
      </c>
      <c r="B74" s="14">
        <v>242.405</v>
      </c>
      <c r="C74" s="14">
        <v>213.739</v>
      </c>
      <c r="D74" s="14">
        <v>1273.779</v>
      </c>
      <c r="E74" s="14">
        <v>1234.182</v>
      </c>
      <c r="F74" s="18">
        <v>1208.8109999999999</v>
      </c>
      <c r="G74" s="14">
        <v>1314.63</v>
      </c>
      <c r="H74" s="43">
        <v>1209.8975031</v>
      </c>
      <c r="I74" s="14"/>
      <c r="J74" s="14">
        <v>227.51300000000001</v>
      </c>
      <c r="K74" s="19">
        <v>198.58799999999999</v>
      </c>
      <c r="L74" s="19">
        <v>11.513</v>
      </c>
      <c r="M74" s="19">
        <v>10.692</v>
      </c>
      <c r="N74" s="18">
        <v>245.25800000000001</v>
      </c>
      <c r="O74" s="19">
        <v>12.193</v>
      </c>
      <c r="P74" s="19">
        <v>11.744</v>
      </c>
      <c r="Q74" s="18">
        <v>10.54</v>
      </c>
      <c r="R74" s="19">
        <v>8.8849999999999998</v>
      </c>
      <c r="S74" s="18">
        <v>11.167999999999999</v>
      </c>
      <c r="T74" s="18">
        <v>11.996</v>
      </c>
      <c r="U74" s="19">
        <v>12.554</v>
      </c>
      <c r="V74" s="19">
        <v>13.2</v>
      </c>
      <c r="W74" s="2"/>
    </row>
    <row r="75" spans="1:23" s="55" customFormat="1" ht="13.5" customHeight="1">
      <c r="A75" s="50" t="s">
        <v>93</v>
      </c>
      <c r="B75" s="45">
        <f>B$4/B73</f>
        <v>1.1275493663627651</v>
      </c>
      <c r="C75" s="45">
        <f>C$4/C73</f>
        <v>1.1728165803712522</v>
      </c>
      <c r="D75" s="45">
        <f>D$4/D73</f>
        <v>1.0632572682287023</v>
      </c>
      <c r="E75" s="45">
        <f>E$4/E73</f>
        <v>1.247995279919113</v>
      </c>
      <c r="F75" s="45">
        <f>1500/F74</f>
        <v>1.2408887741756156</v>
      </c>
      <c r="G75" s="45">
        <f>1500/G74</f>
        <v>1.1410054540060701</v>
      </c>
      <c r="H75" s="45">
        <f>1500/H74</f>
        <v>1.2397744405263249</v>
      </c>
      <c r="I75" s="52"/>
      <c r="J75" s="45">
        <f>250/J74</f>
        <v>1.0988383081406337</v>
      </c>
      <c r="K75" s="53">
        <v>1.3</v>
      </c>
      <c r="L75" s="51">
        <f t="shared" ref="L75:V75" si="50">L4/L73</f>
        <v>1.4825927904969378</v>
      </c>
      <c r="M75" s="51">
        <f t="shared" si="50"/>
        <v>1.4701207883026066</v>
      </c>
      <c r="N75" s="51">
        <f t="shared" si="50"/>
        <v>1.4163679353214857</v>
      </c>
      <c r="O75" s="51">
        <f t="shared" si="50"/>
        <v>1.295774647887324</v>
      </c>
      <c r="P75" s="51">
        <f t="shared" si="50"/>
        <v>1.3481828839390386</v>
      </c>
      <c r="Q75" s="51">
        <f t="shared" si="50"/>
        <v>1.5446052913071384</v>
      </c>
      <c r="R75" s="51">
        <f t="shared" si="50"/>
        <v>1.3666170716922907</v>
      </c>
      <c r="S75" s="51">
        <f t="shared" si="50"/>
        <v>1.4197408762733656</v>
      </c>
      <c r="T75" s="51">
        <f t="shared" si="50"/>
        <v>1.3588475596645884</v>
      </c>
      <c r="U75" s="51">
        <f t="shared" si="50"/>
        <v>1.3227736119302385</v>
      </c>
      <c r="V75" s="51">
        <f t="shared" si="50"/>
        <v>1.2434078978005123</v>
      </c>
      <c r="W75" s="54"/>
    </row>
  </sheetData>
  <pageMargins left="0.7" right="0.7" top="0.75" bottom="0.75" header="0.3" footer="0.3"/>
  <pageSetup orientation="portrait" r:id="rId1"/>
  <ignoredErrors>
    <ignoredError sqref="B22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7EC797-FD7C-479F-8C79-EB976FC4A1C8}">
  <dimension ref="A1:AE75"/>
  <sheetViews>
    <sheetView workbookViewId="0">
      <pane ySplit="2" topLeftCell="A3" activePane="bottomLeft" state="frozen"/>
      <selection pane="bottomLeft" activeCell="B1" sqref="B1"/>
    </sheetView>
  </sheetViews>
  <sheetFormatPr defaultRowHeight="12"/>
  <cols>
    <col min="1" max="1" width="18.81640625" style="3" customWidth="1"/>
    <col min="2" max="11" width="9.1796875" style="13" customWidth="1"/>
    <col min="12" max="16384" width="8.7265625" style="3"/>
  </cols>
  <sheetData>
    <row r="1" spans="1:31" ht="13" customHeight="1">
      <c r="A1" s="67" t="s">
        <v>114</v>
      </c>
      <c r="B1" s="87" t="s">
        <v>115</v>
      </c>
      <c r="C1" s="1" t="s">
        <v>5</v>
      </c>
      <c r="D1" s="1" t="s">
        <v>6</v>
      </c>
      <c r="E1" s="1" t="s">
        <v>1</v>
      </c>
      <c r="F1" s="1" t="s">
        <v>11</v>
      </c>
      <c r="G1" s="1" t="s">
        <v>2</v>
      </c>
      <c r="H1" s="1" t="s">
        <v>3</v>
      </c>
      <c r="I1" s="1" t="s">
        <v>4</v>
      </c>
      <c r="J1" s="1" t="s">
        <v>10</v>
      </c>
      <c r="K1" s="1"/>
    </row>
    <row r="2" spans="1:31" s="6" customFormat="1" ht="13.5" customHeight="1">
      <c r="A2" s="4"/>
      <c r="B2" s="4" t="s">
        <v>63</v>
      </c>
      <c r="C2" s="4" t="s">
        <v>68</v>
      </c>
      <c r="D2" s="4" t="s">
        <v>69</v>
      </c>
      <c r="E2" s="4" t="s">
        <v>64</v>
      </c>
      <c r="F2" s="4" t="s">
        <v>74</v>
      </c>
      <c r="G2" s="4" t="s">
        <v>65</v>
      </c>
      <c r="H2" s="4" t="s">
        <v>66</v>
      </c>
      <c r="I2" s="4" t="s">
        <v>67</v>
      </c>
      <c r="J2" s="4" t="s">
        <v>73</v>
      </c>
      <c r="K2" s="4" t="s">
        <v>94</v>
      </c>
    </row>
    <row r="3" spans="1:31" ht="13.5" customHeight="1">
      <c r="A3" s="7" t="s">
        <v>83</v>
      </c>
      <c r="B3" s="14">
        <v>279.51100000000002</v>
      </c>
      <c r="C3" s="14">
        <v>274.05799999999999</v>
      </c>
      <c r="D3" s="14">
        <v>1747.104</v>
      </c>
      <c r="E3" s="14">
        <v>1489.797</v>
      </c>
      <c r="F3" s="18">
        <v>1410.1949999999999</v>
      </c>
      <c r="G3" s="14">
        <v>1677.472</v>
      </c>
      <c r="H3" s="14">
        <v>1485.1890000000001</v>
      </c>
      <c r="I3" s="14">
        <v>296.58699999999999</v>
      </c>
      <c r="J3" s="18">
        <v>316.75299999999999</v>
      </c>
      <c r="K3" s="14">
        <f>H3*(4.032+28.08+64)/28</f>
        <v>5098.0173274285717</v>
      </c>
    </row>
    <row r="4" spans="1:31" s="8" customFormat="1" collapsed="1">
      <c r="A4" s="9" t="s">
        <v>85</v>
      </c>
      <c r="B4" s="16">
        <v>18830</v>
      </c>
      <c r="C4" s="16">
        <v>1932.6</v>
      </c>
      <c r="D4" s="16">
        <v>29430</v>
      </c>
      <c r="E4" s="16">
        <v>7454</v>
      </c>
      <c r="F4" s="21">
        <v>93.44</v>
      </c>
      <c r="G4" s="16">
        <v>133.80000000000001</v>
      </c>
      <c r="H4" s="16" t="s">
        <v>86</v>
      </c>
      <c r="I4" s="16" t="s">
        <v>86</v>
      </c>
      <c r="J4" s="21">
        <v>37.14</v>
      </c>
      <c r="K4" s="16"/>
      <c r="L4" s="10"/>
      <c r="N4" s="10"/>
      <c r="O4" s="10"/>
      <c r="P4" s="10"/>
      <c r="Q4" s="10"/>
      <c r="R4" s="10"/>
      <c r="AB4" s="12">
        <v>18.488</v>
      </c>
      <c r="AE4" s="12"/>
    </row>
    <row r="5" spans="1:31" s="28" customFormat="1" ht="13.5" customHeight="1">
      <c r="A5" s="23" t="s">
        <v>84</v>
      </c>
      <c r="B5" s="24">
        <v>0.94013431388892921</v>
      </c>
      <c r="C5" s="24">
        <v>0.92011527388498027</v>
      </c>
      <c r="D5" s="24">
        <v>0.91568654499462765</v>
      </c>
      <c r="E5" s="24">
        <v>0.93139176344298569</v>
      </c>
      <c r="F5" s="24">
        <v>1.0618664484749307</v>
      </c>
      <c r="G5" s="24">
        <v>0.8942027050227962</v>
      </c>
      <c r="H5" s="24">
        <v>1.0099724681505182</v>
      </c>
      <c r="I5" s="24">
        <v>0.84292298718419889</v>
      </c>
      <c r="J5" s="25">
        <v>1.0850448450144614</v>
      </c>
      <c r="K5" s="24"/>
    </row>
    <row r="6" spans="1:31" ht="13.5" customHeight="1">
      <c r="A6" s="7" t="s">
        <v>20</v>
      </c>
      <c r="B6" s="24">
        <v>18830</v>
      </c>
      <c r="C6" s="24">
        <v>1932.6</v>
      </c>
      <c r="D6" s="24">
        <v>29430</v>
      </c>
      <c r="E6" s="24">
        <v>7454</v>
      </c>
      <c r="F6" s="24">
        <v>93.44</v>
      </c>
      <c r="G6" s="24">
        <v>19.891539173232101</v>
      </c>
      <c r="H6" s="24">
        <v>36.121665323403285</v>
      </c>
      <c r="I6" s="24">
        <v>0.695411464426964</v>
      </c>
      <c r="J6" s="25">
        <v>37.14</v>
      </c>
      <c r="K6" s="17"/>
    </row>
    <row r="7" spans="1:31" ht="13.5" customHeight="1">
      <c r="A7" s="7" t="s">
        <v>21</v>
      </c>
      <c r="B7" s="24">
        <v>100.14028671250706</v>
      </c>
      <c r="C7" s="24">
        <v>45.158981607692667</v>
      </c>
      <c r="D7" s="24">
        <v>45.068626646163587</v>
      </c>
      <c r="E7" s="24">
        <v>35.887456037221682</v>
      </c>
      <c r="F7" s="24">
        <v>63.768265830265015</v>
      </c>
      <c r="G7" s="24">
        <v>2723.8460612159251</v>
      </c>
      <c r="H7" s="24">
        <v>1362.9881449431689</v>
      </c>
      <c r="I7" s="24">
        <v>-2.6973535589894366E-2</v>
      </c>
      <c r="J7" s="25">
        <v>2.5303245785737238</v>
      </c>
      <c r="K7" s="14">
        <f t="shared" ref="K7:K12" si="0">H7*(4.032+28.08+64)/28</f>
        <v>4678.5541638134946</v>
      </c>
    </row>
    <row r="8" spans="1:31" ht="13.5" customHeight="1">
      <c r="A8" s="7" t="s">
        <v>22</v>
      </c>
      <c r="B8" s="24">
        <v>214.26601147842584</v>
      </c>
      <c r="C8" s="24">
        <v>160.27119909692917</v>
      </c>
      <c r="D8" s="24">
        <v>-10.808992898752834</v>
      </c>
      <c r="E8" s="24">
        <v>58.223161916347919</v>
      </c>
      <c r="F8" s="24">
        <v>714.5936451656894</v>
      </c>
      <c r="G8" s="24">
        <v>6135.933118406746</v>
      </c>
      <c r="H8" s="24">
        <v>2822.9558662230866</v>
      </c>
      <c r="I8" s="24">
        <v>16.930108197594635</v>
      </c>
      <c r="J8" s="25">
        <v>14.773970609716907</v>
      </c>
      <c r="K8" s="14">
        <f t="shared" si="0"/>
        <v>9689.9976505154755</v>
      </c>
    </row>
    <row r="9" spans="1:31" ht="13.5" customHeight="1">
      <c r="A9" s="7" t="s">
        <v>23</v>
      </c>
      <c r="B9" s="24">
        <v>134.73440906067799</v>
      </c>
      <c r="C9" s="24">
        <v>81.073841093245107</v>
      </c>
      <c r="D9" s="24">
        <v>-13.92356332857031</v>
      </c>
      <c r="E9" s="24">
        <v>19.190395893979275</v>
      </c>
      <c r="F9" s="24">
        <v>182.47325423882907</v>
      </c>
      <c r="G9" s="24">
        <v>4159.6789693061937</v>
      </c>
      <c r="H9" s="24">
        <v>1936.4414226068197</v>
      </c>
      <c r="I9" s="24">
        <v>15.432234049368313</v>
      </c>
      <c r="J9" s="25">
        <v>1.281437961962079</v>
      </c>
      <c r="K9" s="14">
        <f t="shared" si="0"/>
        <v>6646.9735003423802</v>
      </c>
    </row>
    <row r="10" spans="1:31" ht="13.5" customHeight="1">
      <c r="A10" s="7" t="s">
        <v>24</v>
      </c>
      <c r="B10" s="24">
        <v>392.69128250846404</v>
      </c>
      <c r="C10" s="24">
        <v>82.49486712223306</v>
      </c>
      <c r="D10" s="24">
        <v>104.54553529349039</v>
      </c>
      <c r="E10" s="24">
        <v>58.17100397759512</v>
      </c>
      <c r="F10" s="24">
        <v>412.79951997818085</v>
      </c>
      <c r="G10" s="24">
        <v>5615.2916412315672</v>
      </c>
      <c r="H10" s="24">
        <v>2922.47249339983</v>
      </c>
      <c r="I10" s="24">
        <v>14.362564778631565</v>
      </c>
      <c r="J10" s="25">
        <v>3.1683309474422274</v>
      </c>
      <c r="K10" s="14">
        <f t="shared" si="0"/>
        <v>10031.595581630159</v>
      </c>
    </row>
    <row r="11" spans="1:31" ht="13.5" customHeight="1">
      <c r="A11" s="7" t="s">
        <v>25</v>
      </c>
      <c r="B11" s="24">
        <v>721.47975543326982</v>
      </c>
      <c r="C11" s="24">
        <v>91.404435330788715</v>
      </c>
      <c r="D11" s="24">
        <v>-5.2056780082944583</v>
      </c>
      <c r="E11" s="24">
        <v>117.76983152854832</v>
      </c>
      <c r="F11" s="24">
        <v>211.14046274830676</v>
      </c>
      <c r="G11" s="24">
        <v>116.23115020697813</v>
      </c>
      <c r="H11" s="24">
        <v>410.16395893047951</v>
      </c>
      <c r="I11" s="24">
        <v>13.908229288539282</v>
      </c>
      <c r="J11" s="25">
        <v>4.3564550527330619</v>
      </c>
      <c r="K11" s="14">
        <f t="shared" si="0"/>
        <v>1407.9170864545088</v>
      </c>
    </row>
    <row r="12" spans="1:31" ht="13.5" customHeight="1">
      <c r="A12" s="7" t="s">
        <v>26</v>
      </c>
      <c r="B12" s="24">
        <v>357.42776102544639</v>
      </c>
      <c r="C12" s="24">
        <v>64.194105566159408</v>
      </c>
      <c r="D12" s="24">
        <v>65.562630101851965</v>
      </c>
      <c r="E12" s="24">
        <v>27.996989091820559</v>
      </c>
      <c r="F12" s="24">
        <v>710.09664075639807</v>
      </c>
      <c r="G12" s="24">
        <v>10274.918895814655</v>
      </c>
      <c r="H12" s="24">
        <v>3774.7317008138357</v>
      </c>
      <c r="I12" s="24">
        <v>60.82279398625024</v>
      </c>
      <c r="J12" s="25">
        <v>6.7207677700195738</v>
      </c>
      <c r="K12" s="14">
        <f t="shared" si="0"/>
        <v>12957.036186736406</v>
      </c>
    </row>
    <row r="13" spans="1:31" s="60" customFormat="1" ht="13.5" customHeight="1">
      <c r="A13" s="56" t="s">
        <v>95</v>
      </c>
      <c r="B13" s="30">
        <f>SUM(B7:B12)</f>
        <v>1920.7395062187913</v>
      </c>
      <c r="C13" s="30">
        <f t="shared" ref="C13:H13" si="1">SUM(C7:C12)</f>
        <v>524.59742981704812</v>
      </c>
      <c r="D13" s="30">
        <f t="shared" si="1"/>
        <v>185.23855780588835</v>
      </c>
      <c r="E13" s="30">
        <f t="shared" si="1"/>
        <v>317.2388384455129</v>
      </c>
      <c r="F13" s="30">
        <f t="shared" si="1"/>
        <v>2294.871788717669</v>
      </c>
      <c r="G13" s="30">
        <f t="shared" si="1"/>
        <v>29025.899836182067</v>
      </c>
      <c r="H13" s="30">
        <f t="shared" si="1"/>
        <v>13229.753586917221</v>
      </c>
      <c r="I13" s="30"/>
      <c r="J13" s="58"/>
      <c r="K13" s="30">
        <f>SUM(K7:K12)</f>
        <v>45412.074169492422</v>
      </c>
    </row>
    <row r="14" spans="1:31" s="41" customFormat="1" ht="13.5" customHeight="1">
      <c r="A14" s="35" t="s">
        <v>20</v>
      </c>
      <c r="B14" s="73">
        <v>18830</v>
      </c>
      <c r="C14" s="73">
        <v>1932.6</v>
      </c>
      <c r="D14" s="74">
        <v>29430</v>
      </c>
      <c r="E14" s="73">
        <v>7454</v>
      </c>
      <c r="F14" s="73">
        <v>93.439999999999984</v>
      </c>
      <c r="G14" s="37">
        <v>32.295000000000002</v>
      </c>
      <c r="H14" s="72">
        <v>42.478999999999999</v>
      </c>
      <c r="I14" s="36">
        <v>2.5379999999999998</v>
      </c>
      <c r="J14" s="38">
        <v>35.241999999999997</v>
      </c>
      <c r="K14" s="72"/>
    </row>
    <row r="15" spans="1:31" s="28" customFormat="1" ht="13.5" customHeight="1">
      <c r="A15" s="23" t="s">
        <v>87</v>
      </c>
      <c r="B15" s="24">
        <v>0.8896414225361623</v>
      </c>
      <c r="C15" s="24">
        <v>0.85432076062220497</v>
      </c>
      <c r="D15" s="70">
        <v>0.8667569703929956</v>
      </c>
      <c r="E15" s="24">
        <v>0.89520461442309862</v>
      </c>
      <c r="F15" s="24">
        <v>1.0492038896000357</v>
      </c>
      <c r="G15" s="24">
        <v>0.9</v>
      </c>
      <c r="H15" s="24">
        <v>1</v>
      </c>
      <c r="I15" s="24">
        <v>0.85</v>
      </c>
      <c r="J15" s="24">
        <v>0.8</v>
      </c>
      <c r="K15" s="24"/>
    </row>
    <row r="16" spans="1:31" ht="13.5" customHeight="1">
      <c r="A16" s="7" t="s">
        <v>27</v>
      </c>
      <c r="B16" s="24">
        <v>248.34785130808237</v>
      </c>
      <c r="C16" s="24">
        <v>131.1171777487591</v>
      </c>
      <c r="D16" s="70">
        <v>1664.8959117650711</v>
      </c>
      <c r="E16" s="24">
        <v>10604.19191558415</v>
      </c>
      <c r="F16" s="24">
        <v>3737.7028219811805</v>
      </c>
      <c r="G16" s="24">
        <v>9035.9892</v>
      </c>
      <c r="H16" s="24">
        <v>14499.081</v>
      </c>
      <c r="I16" s="24">
        <v>1146.48</v>
      </c>
      <c r="J16" s="24">
        <v>296.17440000000005</v>
      </c>
      <c r="K16" s="14">
        <f t="shared" ref="K16:K22" si="2">H16*(4.032+28.08+64)/28</f>
        <v>49769.13118114286</v>
      </c>
    </row>
    <row r="17" spans="1:11" ht="13.5" customHeight="1">
      <c r="A17" s="7" t="s">
        <v>28</v>
      </c>
      <c r="B17" s="24">
        <v>845.05704264576252</v>
      </c>
      <c r="C17" s="24">
        <v>529.49416743732047</v>
      </c>
      <c r="D17" s="70">
        <v>3801.243822110911</v>
      </c>
      <c r="E17" s="24">
        <v>11850.201257465844</v>
      </c>
      <c r="F17" s="24">
        <v>13461.808407105478</v>
      </c>
      <c r="G17" s="24">
        <v>22252.643100000001</v>
      </c>
      <c r="H17" s="24">
        <v>22064.519</v>
      </c>
      <c r="I17" s="24">
        <v>10197.57835</v>
      </c>
      <c r="J17" s="24">
        <v>421.62240000000003</v>
      </c>
      <c r="K17" s="14">
        <f t="shared" si="2"/>
        <v>75738.037504571417</v>
      </c>
    </row>
    <row r="18" spans="1:11" ht="13.5" customHeight="1">
      <c r="A18" s="7" t="s">
        <v>29</v>
      </c>
      <c r="B18" s="24">
        <v>536.77760726710903</v>
      </c>
      <c r="C18" s="24">
        <v>360.54078912608719</v>
      </c>
      <c r="D18" s="70">
        <v>1860.7885343184987</v>
      </c>
      <c r="E18" s="24">
        <v>16137.300347753486</v>
      </c>
      <c r="F18" s="24">
        <v>19622.012843764736</v>
      </c>
      <c r="G18" s="24">
        <v>15767.278200000001</v>
      </c>
      <c r="H18" s="24">
        <v>20760.091</v>
      </c>
      <c r="I18" s="24">
        <v>12826.897800000001</v>
      </c>
      <c r="J18" s="24">
        <v>623.96</v>
      </c>
      <c r="K18" s="14">
        <f t="shared" si="2"/>
        <v>71260.495221142861</v>
      </c>
    </row>
    <row r="19" spans="1:11" ht="13.5" customHeight="1">
      <c r="A19" s="7" t="s">
        <v>30</v>
      </c>
      <c r="B19" s="24">
        <v>959.44624711403969</v>
      </c>
      <c r="C19" s="24">
        <v>476.0361991744129</v>
      </c>
      <c r="D19" s="70">
        <v>1624.2561043428607</v>
      </c>
      <c r="E19" s="24">
        <v>9842.0066500227949</v>
      </c>
      <c r="F19" s="24">
        <v>10285.824166722809</v>
      </c>
      <c r="G19" s="24">
        <v>7957.2204000000002</v>
      </c>
      <c r="H19" s="24">
        <v>11152.456</v>
      </c>
      <c r="I19" s="24">
        <v>6390.3561</v>
      </c>
      <c r="J19" s="24">
        <v>430.64160000000004</v>
      </c>
      <c r="K19" s="14">
        <f t="shared" si="2"/>
        <v>38281.601823999998</v>
      </c>
    </row>
    <row r="20" spans="1:11" ht="13.5" customHeight="1">
      <c r="A20" s="7" t="s">
        <v>31</v>
      </c>
      <c r="B20" s="24">
        <v>2665.1192712442999</v>
      </c>
      <c r="C20" s="24">
        <v>930.717454888009</v>
      </c>
      <c r="D20" s="70">
        <v>1828.5091179299111</v>
      </c>
      <c r="E20" s="24">
        <v>9746.8123817342712</v>
      </c>
      <c r="F20" s="24">
        <v>6583.79008017247</v>
      </c>
      <c r="G20" s="24">
        <v>7766.1333000000004</v>
      </c>
      <c r="H20" s="24">
        <v>8642.4290000000001</v>
      </c>
      <c r="I20" s="24">
        <v>4016.828</v>
      </c>
      <c r="J20" s="24">
        <v>354.86400000000003</v>
      </c>
      <c r="K20" s="14">
        <f t="shared" si="2"/>
        <v>29665.754858857141</v>
      </c>
    </row>
    <row r="21" spans="1:11" ht="13.5" customHeight="1">
      <c r="A21" s="7" t="s">
        <v>32</v>
      </c>
      <c r="B21" s="24">
        <v>6827.6856538257362</v>
      </c>
      <c r="C21" s="24">
        <v>2597.5003344166689</v>
      </c>
      <c r="D21" s="70">
        <v>1665.2107178967181</v>
      </c>
      <c r="E21" s="24">
        <v>11058.402623259371</v>
      </c>
      <c r="F21" s="24">
        <v>12735.443505131485</v>
      </c>
      <c r="G21" s="24">
        <v>17905.662</v>
      </c>
      <c r="H21" s="24">
        <v>14461.548000000001</v>
      </c>
      <c r="I21" s="24">
        <v>3922.9429499999997</v>
      </c>
      <c r="J21" s="24">
        <v>433.90240000000006</v>
      </c>
      <c r="K21" s="14">
        <f t="shared" si="2"/>
        <v>49640.296477714284</v>
      </c>
    </row>
    <row r="22" spans="1:11" s="60" customFormat="1" ht="13.5" customHeight="1">
      <c r="A22" s="56" t="s">
        <v>96</v>
      </c>
      <c r="B22" s="30">
        <f>SUM(B16:B21)</f>
        <v>12082.43367340503</v>
      </c>
      <c r="C22" s="30">
        <f t="shared" ref="C22:H22" si="3">SUM(C16:C21)</f>
        <v>5025.4061227912571</v>
      </c>
      <c r="D22" s="30">
        <f t="shared" si="3"/>
        <v>12444.904208363971</v>
      </c>
      <c r="E22" s="30">
        <f t="shared" si="3"/>
        <v>69238.915175819915</v>
      </c>
      <c r="F22" s="30">
        <f t="shared" si="3"/>
        <v>66426.581824878158</v>
      </c>
      <c r="G22" s="30">
        <f t="shared" si="3"/>
        <v>80684.926200000002</v>
      </c>
      <c r="H22" s="30">
        <f t="shared" si="3"/>
        <v>91580.123999999996</v>
      </c>
      <c r="I22" s="30"/>
      <c r="J22" s="58"/>
      <c r="K22" s="30">
        <f t="shared" si="2"/>
        <v>314355.31706742855</v>
      </c>
    </row>
    <row r="23" spans="1:11" ht="13.5" customHeight="1">
      <c r="A23" s="7" t="s">
        <v>20</v>
      </c>
      <c r="B23" s="45">
        <v>18830</v>
      </c>
      <c r="C23" s="45">
        <v>1932.6</v>
      </c>
      <c r="D23" s="45">
        <v>29430</v>
      </c>
      <c r="E23" s="45">
        <v>7454</v>
      </c>
      <c r="F23" s="45">
        <v>93.439999999999984</v>
      </c>
      <c r="G23" s="15">
        <v>16.117999999999999</v>
      </c>
      <c r="H23" s="15">
        <v>32.896999999999998</v>
      </c>
      <c r="I23" s="14">
        <v>1.3959999999999999</v>
      </c>
      <c r="J23" s="18">
        <v>32.124000000000002</v>
      </c>
      <c r="K23" s="15"/>
    </row>
    <row r="24" spans="1:11" ht="13.5" customHeight="1">
      <c r="A24" s="7" t="s">
        <v>83</v>
      </c>
      <c r="B24" s="14">
        <v>291.13499999999999</v>
      </c>
      <c r="C24" s="14">
        <v>275.12200000000001</v>
      </c>
      <c r="D24" s="14">
        <v>1667.825</v>
      </c>
      <c r="E24" s="14">
        <v>1508.653</v>
      </c>
      <c r="F24" s="18">
        <v>1375.2170000000001</v>
      </c>
      <c r="G24" s="45">
        <v>1500</v>
      </c>
      <c r="H24" s="45">
        <v>1500</v>
      </c>
      <c r="I24" s="45">
        <v>250</v>
      </c>
      <c r="J24" s="45">
        <v>250</v>
      </c>
      <c r="K24" s="14"/>
    </row>
    <row r="25" spans="1:11" s="49" customFormat="1" ht="13.5" customHeight="1">
      <c r="A25" s="44" t="s">
        <v>88</v>
      </c>
      <c r="B25" s="45">
        <v>0.96924517625515061</v>
      </c>
      <c r="C25" s="45">
        <v>0.95966487704014436</v>
      </c>
      <c r="D25" s="45">
        <v>0.83839174414027418</v>
      </c>
      <c r="E25" s="45">
        <v>0.97032717625549258</v>
      </c>
      <c r="F25" s="45">
        <v>1.0926482453781119</v>
      </c>
      <c r="G25" s="45">
        <v>0.887504119498288</v>
      </c>
      <c r="H25" s="45">
        <v>1.0034491893468482</v>
      </c>
      <c r="I25" s="45">
        <v>0.86877350032318379</v>
      </c>
      <c r="J25" s="45">
        <v>0.80098938208475112</v>
      </c>
      <c r="K25" s="46"/>
    </row>
    <row r="26" spans="1:11" ht="13.5" customHeight="1">
      <c r="A26" s="7" t="s">
        <v>33</v>
      </c>
      <c r="B26" s="24">
        <v>241.47968170256073</v>
      </c>
      <c r="C26" s="24">
        <v>195.79754586786953</v>
      </c>
      <c r="D26" s="24">
        <v>2483.4853239995236</v>
      </c>
      <c r="E26" s="24">
        <v>7304.1853652948566</v>
      </c>
      <c r="F26" s="24">
        <v>871.18265046715851</v>
      </c>
      <c r="G26" s="24">
        <v>7141.2575223369995</v>
      </c>
      <c r="H26" s="24">
        <v>5890.3872243525084</v>
      </c>
      <c r="I26" s="24">
        <v>-0.82707237230767094</v>
      </c>
      <c r="J26" s="24">
        <v>231.84237169752078</v>
      </c>
      <c r="K26" s="14">
        <f t="shared" ref="K26:K32" si="4">H26*(4.032+28.08+64)/28</f>
        <v>20219.174889534577</v>
      </c>
    </row>
    <row r="27" spans="1:11" ht="13.5" customHeight="1">
      <c r="A27" s="7" t="s">
        <v>34</v>
      </c>
      <c r="B27" s="24">
        <v>1154.9118437282348</v>
      </c>
      <c r="C27" s="24">
        <v>1059.7339320935055</v>
      </c>
      <c r="D27" s="24">
        <v>1927.8624907208577</v>
      </c>
      <c r="E27" s="24">
        <v>24624.554571270688</v>
      </c>
      <c r="F27" s="24">
        <v>28688.685966065226</v>
      </c>
      <c r="G27" s="24">
        <v>17950.794996606775</v>
      </c>
      <c r="H27" s="24">
        <v>20853.613821910516</v>
      </c>
      <c r="I27" s="24">
        <v>6850.4875556883817</v>
      </c>
      <c r="J27" s="24">
        <v>1136.9868061028983</v>
      </c>
      <c r="K27" s="14">
        <f t="shared" si="4"/>
        <v>71581.518987552263</v>
      </c>
    </row>
    <row r="28" spans="1:11" ht="13.5" customHeight="1">
      <c r="A28" s="7" t="s">
        <v>35</v>
      </c>
      <c r="B28" s="24">
        <v>1215.1736933167224</v>
      </c>
      <c r="C28" s="24">
        <v>1021.86267705087</v>
      </c>
      <c r="D28" s="24">
        <v>1968.2972861489993</v>
      </c>
      <c r="E28" s="24">
        <v>18151.75232288177</v>
      </c>
      <c r="F28" s="24">
        <v>20513.50490592514</v>
      </c>
      <c r="G28" s="24">
        <v>13045.911179771059</v>
      </c>
      <c r="H28" s="24">
        <v>17073.80134649502</v>
      </c>
      <c r="I28" s="24">
        <v>6001.1259304564192</v>
      </c>
      <c r="J28" s="24">
        <v>866.61444215895483</v>
      </c>
      <c r="K28" s="14">
        <f t="shared" si="4"/>
        <v>58607.042679083184</v>
      </c>
    </row>
    <row r="29" spans="1:11" ht="13.5" customHeight="1">
      <c r="A29" s="7" t="s">
        <v>36</v>
      </c>
      <c r="B29" s="24">
        <v>2049.7393445956914</v>
      </c>
      <c r="C29" s="24">
        <v>1565.012844493174</v>
      </c>
      <c r="D29" s="24">
        <v>1612.4582589876707</v>
      </c>
      <c r="E29" s="24">
        <v>17786.699713939634</v>
      </c>
      <c r="F29" s="24">
        <v>19674.772815697463</v>
      </c>
      <c r="G29" s="24">
        <v>11843.367947966224</v>
      </c>
      <c r="H29" s="24">
        <v>16068.167648262963</v>
      </c>
      <c r="I29" s="24">
        <v>5463.872053989061</v>
      </c>
      <c r="J29" s="24">
        <v>788.17275098201299</v>
      </c>
      <c r="K29" s="14">
        <f t="shared" si="4"/>
        <v>55155.133178923206</v>
      </c>
    </row>
    <row r="30" spans="1:11" ht="13.5" customHeight="1">
      <c r="A30" s="7" t="s">
        <v>37</v>
      </c>
      <c r="B30" s="24">
        <v>4427.2618998780545</v>
      </c>
      <c r="C30" s="24">
        <v>2791.6555306610094</v>
      </c>
      <c r="D30" s="24">
        <v>5406.1471140351223</v>
      </c>
      <c r="E30" s="24">
        <v>24035.934699610578</v>
      </c>
      <c r="F30" s="24">
        <v>26674.869690938645</v>
      </c>
      <c r="G30" s="24">
        <v>85124.928334042357</v>
      </c>
      <c r="H30" s="24">
        <v>50796.20749723717</v>
      </c>
      <c r="I30" s="24">
        <v>6444.9406106435181</v>
      </c>
      <c r="J30" s="24">
        <v>957.07658099284231</v>
      </c>
      <c r="K30" s="14">
        <f t="shared" si="4"/>
        <v>174361.61053480208</v>
      </c>
    </row>
    <row r="31" spans="1:11" ht="13.5" customHeight="1">
      <c r="A31" s="7" t="s">
        <v>38</v>
      </c>
      <c r="B31" s="24">
        <v>12633.765821203142</v>
      </c>
      <c r="C31" s="24">
        <v>8212.8158563690649</v>
      </c>
      <c r="D31" s="24">
        <v>3315.3638961166826</v>
      </c>
      <c r="E31" s="24">
        <v>44058.959100592365</v>
      </c>
      <c r="F31" s="24">
        <v>53023.66582925032</v>
      </c>
      <c r="G31" s="24">
        <v>74265.182976724318</v>
      </c>
      <c r="H31" s="24">
        <v>60803.303220938105</v>
      </c>
      <c r="I31" s="24">
        <v>15943.392456265943</v>
      </c>
      <c r="J31" s="24">
        <v>1972.5781285043288</v>
      </c>
      <c r="K31" s="14">
        <f t="shared" si="4"/>
        <v>208711.68139895724</v>
      </c>
    </row>
    <row r="32" spans="1:11" s="60" customFormat="1" ht="13.5" customHeight="1">
      <c r="A32" s="56" t="s">
        <v>97</v>
      </c>
      <c r="B32" s="30">
        <f>SUM(B26:B31)</f>
        <v>21722.332284424407</v>
      </c>
      <c r="C32" s="30">
        <f t="shared" ref="C32:H32" si="5">SUM(C26:C31)</f>
        <v>14846.878386535493</v>
      </c>
      <c r="D32" s="30">
        <f t="shared" si="5"/>
        <v>16713.614370008858</v>
      </c>
      <c r="E32" s="30">
        <f t="shared" si="5"/>
        <v>135962.08577358988</v>
      </c>
      <c r="F32" s="30">
        <f t="shared" si="5"/>
        <v>149446.68185834395</v>
      </c>
      <c r="G32" s="30">
        <f t="shared" si="5"/>
        <v>209371.44295744773</v>
      </c>
      <c r="H32" s="30">
        <f t="shared" si="5"/>
        <v>171485.48075919627</v>
      </c>
      <c r="I32" s="30"/>
      <c r="J32" s="58"/>
      <c r="K32" s="30">
        <f t="shared" si="4"/>
        <v>588636.16166885255</v>
      </c>
    </row>
    <row r="33" spans="1:11" ht="13.5" customHeight="1">
      <c r="A33" s="7" t="s">
        <v>20</v>
      </c>
      <c r="B33" s="14">
        <v>18884.714</v>
      </c>
      <c r="C33" s="14">
        <v>1894.6130000000001</v>
      </c>
      <c r="D33" s="14">
        <v>33509.74</v>
      </c>
      <c r="E33" s="14">
        <v>7396.42</v>
      </c>
      <c r="F33" s="18">
        <v>75.918000000000006</v>
      </c>
      <c r="G33" s="14">
        <v>7.6950000000000003</v>
      </c>
      <c r="H33" s="15">
        <v>18.309999999999999</v>
      </c>
      <c r="I33" s="14">
        <v>0.98399999999999999</v>
      </c>
      <c r="J33" s="18">
        <v>30.731000000000002</v>
      </c>
      <c r="K33" s="15"/>
    </row>
    <row r="34" spans="1:11" ht="13.5" customHeight="1">
      <c r="A34" s="7" t="s">
        <v>83</v>
      </c>
      <c r="B34" s="14">
        <v>276.79300000000001</v>
      </c>
      <c r="C34" s="14">
        <v>254.922</v>
      </c>
      <c r="D34" s="14">
        <v>1545.5740000000001</v>
      </c>
      <c r="E34" s="14">
        <v>1423.3789999999999</v>
      </c>
      <c r="F34" s="18">
        <v>1307.3009999999999</v>
      </c>
      <c r="G34" s="14">
        <v>1555.9960000000001</v>
      </c>
      <c r="H34" s="14">
        <v>1357.6569999999999</v>
      </c>
      <c r="I34" s="14">
        <v>271.47699999999998</v>
      </c>
      <c r="J34" s="18">
        <v>292.96600000000001</v>
      </c>
      <c r="K34" s="14"/>
    </row>
    <row r="35" spans="1:11" s="55" customFormat="1" ht="13.5" customHeight="1">
      <c r="A35" s="50" t="s">
        <v>89</v>
      </c>
      <c r="B35" s="51">
        <v>0.99710273610709699</v>
      </c>
      <c r="C35" s="51">
        <v>1.0200500049350447</v>
      </c>
      <c r="D35" s="51">
        <v>0.85</v>
      </c>
      <c r="E35" s="51">
        <v>1.0077848472639466</v>
      </c>
      <c r="F35" s="51">
        <v>1.2308016544166072</v>
      </c>
      <c r="G35" s="51">
        <v>0.96401276095825428</v>
      </c>
      <c r="H35" s="51">
        <v>1.104844596241908</v>
      </c>
      <c r="I35" s="51">
        <v>0.92088832571451729</v>
      </c>
      <c r="J35" s="51">
        <v>0.8533413433640763</v>
      </c>
      <c r="K35" s="52"/>
    </row>
    <row r="36" spans="1:11" ht="13.5" customHeight="1">
      <c r="A36" s="7" t="s">
        <v>39</v>
      </c>
      <c r="B36" s="51">
        <v>346.1641568943009</v>
      </c>
      <c r="C36" s="51">
        <v>326.35530860392072</v>
      </c>
      <c r="D36" s="51">
        <v>2496.6761000000001</v>
      </c>
      <c r="E36" s="51">
        <v>7163.5171034094865</v>
      </c>
      <c r="F36" s="51">
        <v>2118.4496535735921</v>
      </c>
      <c r="G36" s="51">
        <v>7158.0974501219789</v>
      </c>
      <c r="H36" s="51">
        <v>5742.7060001163773</v>
      </c>
      <c r="I36" s="51">
        <v>1.2855601026974661</v>
      </c>
      <c r="J36" s="51">
        <v>194.50977246506417</v>
      </c>
      <c r="K36" s="14">
        <f t="shared" ref="K36:K42" si="6">H36*(4.032+28.08+64)/28</f>
        <v>19712.248538685184</v>
      </c>
    </row>
    <row r="37" spans="1:11" ht="13.5" customHeight="1">
      <c r="A37" s="7" t="s">
        <v>40</v>
      </c>
      <c r="B37" s="51">
        <v>1393.0691833617391</v>
      </c>
      <c r="C37" s="51">
        <v>1544.3078671264261</v>
      </c>
      <c r="D37" s="51">
        <v>5925.0796999999993</v>
      </c>
      <c r="E37" s="51">
        <v>22449.429366639535</v>
      </c>
      <c r="F37" s="51">
        <v>37205.819516847121</v>
      </c>
      <c r="G37" s="51">
        <v>24614.665140527348</v>
      </c>
      <c r="H37" s="51">
        <v>25121.384119847651</v>
      </c>
      <c r="I37" s="51">
        <v>2387.0162113180859</v>
      </c>
      <c r="J37" s="51">
        <v>878.2597639316507</v>
      </c>
      <c r="K37" s="14">
        <f t="shared" si="6"/>
        <v>86230.945375957046</v>
      </c>
    </row>
    <row r="38" spans="1:11" ht="13.5" customHeight="1">
      <c r="A38" s="7" t="s">
        <v>41</v>
      </c>
      <c r="B38" s="51">
        <v>3148.0996222659237</v>
      </c>
      <c r="C38" s="51">
        <v>3000.5355383817173</v>
      </c>
      <c r="D38" s="51">
        <v>2136.4265500000001</v>
      </c>
      <c r="E38" s="51">
        <v>23498.799447840978</v>
      </c>
      <c r="F38" s="51">
        <v>28050.768494428194</v>
      </c>
      <c r="G38" s="51">
        <v>21416.739824523971</v>
      </c>
      <c r="H38" s="51">
        <v>21457.839866770475</v>
      </c>
      <c r="I38" s="51">
        <v>4324.4924984436993</v>
      </c>
      <c r="J38" s="51">
        <v>937.25807772915618</v>
      </c>
      <c r="K38" s="14">
        <f t="shared" si="6"/>
        <v>73655.568045537279</v>
      </c>
    </row>
    <row r="39" spans="1:11" ht="13.5" customHeight="1">
      <c r="A39" s="7" t="s">
        <v>42</v>
      </c>
      <c r="B39" s="51">
        <v>3075.486752206044</v>
      </c>
      <c r="C39" s="51">
        <v>2141.8997763026009</v>
      </c>
      <c r="D39" s="51">
        <v>1813.6365000000001</v>
      </c>
      <c r="E39" s="51">
        <v>20327.530127045247</v>
      </c>
      <c r="F39" s="51">
        <v>21695.094602070651</v>
      </c>
      <c r="G39" s="51">
        <v>21714.529150460537</v>
      </c>
      <c r="H39" s="51">
        <v>21043.629208261002</v>
      </c>
      <c r="I39" s="51">
        <v>2322.958298493058</v>
      </c>
      <c r="J39" s="51">
        <v>588.77821999822493</v>
      </c>
      <c r="K39" s="14">
        <f t="shared" si="6"/>
        <v>72233.760373727899</v>
      </c>
    </row>
    <row r="40" spans="1:11" ht="13.5" customHeight="1">
      <c r="A40" s="7" t="s">
        <v>43</v>
      </c>
      <c r="B40" s="51">
        <v>7564.3810708915162</v>
      </c>
      <c r="C40" s="51">
        <v>4583.0942606432036</v>
      </c>
      <c r="D40" s="51">
        <v>2232.6439999999998</v>
      </c>
      <c r="E40" s="51">
        <v>32571.132362824173</v>
      </c>
      <c r="F40" s="51">
        <v>35169.98127031797</v>
      </c>
      <c r="G40" s="51">
        <v>36223.017604158362</v>
      </c>
      <c r="H40" s="51">
        <v>34170.483413704642</v>
      </c>
      <c r="I40" s="51">
        <v>7058.4147091650493</v>
      </c>
      <c r="J40" s="51">
        <v>961.66278680802554</v>
      </c>
      <c r="K40" s="14">
        <f t="shared" si="6"/>
        <v>117292.62506635643</v>
      </c>
    </row>
    <row r="41" spans="1:11" ht="13.5" customHeight="1">
      <c r="A41" s="7" t="s">
        <v>44</v>
      </c>
      <c r="B41" s="51">
        <v>13571.04587057024</v>
      </c>
      <c r="C41" s="51">
        <v>9967.9697562404581</v>
      </c>
      <c r="D41" s="51">
        <v>9294.7491499999996</v>
      </c>
      <c r="E41" s="51">
        <v>93039.477044256535</v>
      </c>
      <c r="F41" s="51">
        <v>112451.36974946651</v>
      </c>
      <c r="G41" s="51">
        <v>71975.725194666302</v>
      </c>
      <c r="H41" s="51">
        <v>85590.940863561264</v>
      </c>
      <c r="I41" s="51">
        <v>19605.107430832079</v>
      </c>
      <c r="J41" s="51">
        <v>2626.2689185775821</v>
      </c>
      <c r="K41" s="14">
        <f t="shared" si="6"/>
        <v>293797.01815280714</v>
      </c>
    </row>
    <row r="42" spans="1:11" s="60" customFormat="1" ht="13.5" customHeight="1">
      <c r="A42" s="56" t="s">
        <v>98</v>
      </c>
      <c r="B42" s="30">
        <f>SUM(B36:B41)</f>
        <v>29098.246656189764</v>
      </c>
      <c r="C42" s="30">
        <f t="shared" ref="C42:H42" si="7">SUM(C36:C41)</f>
        <v>21564.162507298326</v>
      </c>
      <c r="D42" s="30">
        <f t="shared" si="7"/>
        <v>23899.212</v>
      </c>
      <c r="E42" s="30">
        <f t="shared" si="7"/>
        <v>199049.88545201597</v>
      </c>
      <c r="F42" s="30">
        <f t="shared" si="7"/>
        <v>236691.48328670402</v>
      </c>
      <c r="G42" s="30">
        <f t="shared" si="7"/>
        <v>183102.77436445851</v>
      </c>
      <c r="H42" s="30">
        <f t="shared" si="7"/>
        <v>193126.9834722614</v>
      </c>
      <c r="I42" s="30"/>
      <c r="J42" s="58"/>
      <c r="K42" s="30">
        <f t="shared" si="6"/>
        <v>662922.16555307095</v>
      </c>
    </row>
    <row r="43" spans="1:11" s="41" customFormat="1" ht="13.5" customHeight="1">
      <c r="A43" s="35" t="s">
        <v>20</v>
      </c>
      <c r="B43" s="36">
        <v>17265.723999999998</v>
      </c>
      <c r="C43" s="36">
        <v>1704.479</v>
      </c>
      <c r="D43" s="36">
        <v>30024.23</v>
      </c>
      <c r="E43" s="71">
        <v>7323.5060000000003</v>
      </c>
      <c r="F43" s="38">
        <v>69.748000000000005</v>
      </c>
      <c r="G43" s="36">
        <v>-6.742</v>
      </c>
      <c r="H43" s="36">
        <v>-38.692999999999998</v>
      </c>
      <c r="I43" s="36">
        <v>-4.3470000000000004</v>
      </c>
      <c r="J43" s="38">
        <v>27.245999999999999</v>
      </c>
      <c r="K43" s="36"/>
    </row>
    <row r="44" spans="1:11" ht="13.5" customHeight="1">
      <c r="A44" s="7" t="s">
        <v>83</v>
      </c>
      <c r="B44" s="14">
        <v>263.30399999999997</v>
      </c>
      <c r="C44" s="14">
        <v>235.51900000000001</v>
      </c>
      <c r="D44" s="14">
        <v>1424.672</v>
      </c>
      <c r="E44" s="14">
        <v>1442.596</v>
      </c>
      <c r="F44" s="18">
        <v>1212.5609999999999</v>
      </c>
      <c r="G44" s="14">
        <v>1454.0509999999999</v>
      </c>
      <c r="H44" s="14">
        <v>1211.6880000000001</v>
      </c>
      <c r="I44" s="14">
        <v>259.12900000000002</v>
      </c>
      <c r="J44" s="18">
        <v>270.28399999999999</v>
      </c>
      <c r="K44" s="14"/>
    </row>
    <row r="45" spans="1:11" s="49" customFormat="1" ht="13.5" customHeight="1">
      <c r="A45" s="44" t="s">
        <v>90</v>
      </c>
      <c r="B45" s="45">
        <v>1.09060008140985</v>
      </c>
      <c r="C45" s="45">
        <v>1.1338362044941592</v>
      </c>
      <c r="D45" s="45">
        <v>0.98020831841482692</v>
      </c>
      <c r="E45" s="45">
        <v>1.0178185147933243</v>
      </c>
      <c r="F45" s="45">
        <v>1.2370511669103659</v>
      </c>
      <c r="G45" s="45">
        <v>1.0316006797560746</v>
      </c>
      <c r="H45" s="45">
        <v>1.2379424406282804</v>
      </c>
      <c r="I45" s="45">
        <v>0.96477044252090649</v>
      </c>
      <c r="J45" s="45">
        <v>0.92495301238697081</v>
      </c>
      <c r="K45" s="45"/>
    </row>
    <row r="46" spans="1:11" ht="13.5" customHeight="1">
      <c r="A46" s="7" t="s">
        <v>45</v>
      </c>
      <c r="B46" s="45">
        <v>906.8089602324236</v>
      </c>
      <c r="C46" s="45">
        <v>298.75654242733413</v>
      </c>
      <c r="D46" s="45">
        <v>4356.4437316127669</v>
      </c>
      <c r="E46" s="45">
        <v>7370.6199612098353</v>
      </c>
      <c r="F46" s="45">
        <v>1072.0644157283634</v>
      </c>
      <c r="G46" s="45">
        <v>12799.466799995324</v>
      </c>
      <c r="H46" s="45">
        <v>9203.0584605938147</v>
      </c>
      <c r="I46" s="45">
        <v>-6.7649703429565955</v>
      </c>
      <c r="J46" s="45">
        <v>239.9263367420935</v>
      </c>
      <c r="K46" s="14">
        <f t="shared" ref="K46:K52" si="8">H46*(4.032+28.08+64)/28</f>
        <v>31590.155527306884</v>
      </c>
    </row>
    <row r="47" spans="1:11" ht="13.5" customHeight="1">
      <c r="A47" s="7" t="s">
        <v>46</v>
      </c>
      <c r="B47" s="45">
        <v>1933.0472887438723</v>
      </c>
      <c r="C47" s="45">
        <v>912.96117019922212</v>
      </c>
      <c r="D47" s="45">
        <v>2995.2313804550522</v>
      </c>
      <c r="E47" s="45">
        <v>20380.191992146931</v>
      </c>
      <c r="F47" s="45">
        <v>56179.634674049397</v>
      </c>
      <c r="G47" s="45">
        <v>19030.367916943767</v>
      </c>
      <c r="H47" s="45">
        <v>13505.172123516944</v>
      </c>
      <c r="I47" s="45">
        <v>1059.5639623507982</v>
      </c>
      <c r="J47" s="45">
        <v>750.23678797117111</v>
      </c>
      <c r="K47" s="14">
        <f t="shared" si="8"/>
        <v>46357.467969123587</v>
      </c>
    </row>
    <row r="48" spans="1:11" ht="13.5" customHeight="1">
      <c r="A48" s="7" t="s">
        <v>47</v>
      </c>
      <c r="B48" s="45">
        <v>2777.0115753211394</v>
      </c>
      <c r="C48" s="45">
        <v>1215.6127801398552</v>
      </c>
      <c r="D48" s="45">
        <v>3307.2385496647207</v>
      </c>
      <c r="E48" s="45">
        <v>21683.318247921143</v>
      </c>
      <c r="F48" s="45">
        <v>65687.726225732156</v>
      </c>
      <c r="G48" s="45">
        <v>21884.118920175428</v>
      </c>
      <c r="H48" s="45">
        <v>18538.829302592745</v>
      </c>
      <c r="I48" s="45">
        <v>1408.8291931817741</v>
      </c>
      <c r="J48" s="45">
        <v>815.72901096624298</v>
      </c>
      <c r="K48" s="14">
        <f t="shared" si="8"/>
        <v>63635.85578324263</v>
      </c>
    </row>
    <row r="49" spans="1:11" ht="13.5" customHeight="1">
      <c r="A49" s="7" t="s">
        <v>48</v>
      </c>
      <c r="B49" s="45">
        <v>3755.3983856686232</v>
      </c>
      <c r="C49" s="45">
        <v>1461.7753097691436</v>
      </c>
      <c r="D49" s="45">
        <v>3911.8545654626282</v>
      </c>
      <c r="E49" s="45">
        <v>19921.561829424321</v>
      </c>
      <c r="F49" s="45">
        <v>66451.493986694288</v>
      </c>
      <c r="G49" s="45">
        <v>30283.834611028087</v>
      </c>
      <c r="H49" s="45">
        <v>25664.235347713271</v>
      </c>
      <c r="I49" s="45">
        <v>1771.3262506319245</v>
      </c>
      <c r="J49" s="45">
        <v>913.44012224179016</v>
      </c>
      <c r="K49" s="14">
        <f t="shared" si="8"/>
        <v>88094.320990693494</v>
      </c>
    </row>
    <row r="50" spans="1:11" ht="13.5" customHeight="1">
      <c r="A50" s="7" t="s">
        <v>49</v>
      </c>
      <c r="B50" s="45">
        <v>9195.8851056057665</v>
      </c>
      <c r="C50" s="45">
        <v>3296.8347826051254</v>
      </c>
      <c r="D50" s="45">
        <v>4821.8721266124057</v>
      </c>
      <c r="E50" s="45">
        <v>24761.494873733973</v>
      </c>
      <c r="F50" s="45">
        <v>82136.957645842151</v>
      </c>
      <c r="G50" s="45">
        <v>38018.908552726141</v>
      </c>
      <c r="H50" s="45">
        <v>33718.468368094749</v>
      </c>
      <c r="I50" s="45">
        <v>2135.3756237240909</v>
      </c>
      <c r="J50" s="45">
        <v>1230.0829867842715</v>
      </c>
      <c r="K50" s="14">
        <f t="shared" si="8"/>
        <v>115741.05113551152</v>
      </c>
    </row>
    <row r="51" spans="1:11" ht="13.5" customHeight="1">
      <c r="A51" s="7" t="s">
        <v>50</v>
      </c>
      <c r="B51" s="45">
        <v>12728.738452410105</v>
      </c>
      <c r="C51" s="45">
        <v>3987.1609779527944</v>
      </c>
      <c r="D51" s="45">
        <v>4516.2765000134896</v>
      </c>
      <c r="E51" s="45">
        <v>19637.712968433421</v>
      </c>
      <c r="F51" s="45">
        <v>67513.843839608904</v>
      </c>
      <c r="G51" s="45">
        <v>33106.275502028475</v>
      </c>
      <c r="H51" s="45">
        <v>37440.478489512148</v>
      </c>
      <c r="I51" s="45">
        <v>2502.8209887739308</v>
      </c>
      <c r="J51" s="45">
        <v>1354.2181557176898</v>
      </c>
      <c r="K51" s="14">
        <f t="shared" si="8"/>
        <v>128517.11673514255</v>
      </c>
    </row>
    <row r="52" spans="1:11" s="60" customFormat="1" ht="13.5" customHeight="1">
      <c r="A52" s="56" t="s">
        <v>99</v>
      </c>
      <c r="B52" s="30">
        <f>SUM(B46:B51)</f>
        <v>31296.889767981927</v>
      </c>
      <c r="C52" s="30">
        <f t="shared" ref="C52:H52" si="9">SUM(C46:C51)</f>
        <v>11173.101563093474</v>
      </c>
      <c r="D52" s="30">
        <f t="shared" si="9"/>
        <v>23908.916853821065</v>
      </c>
      <c r="E52" s="30">
        <f t="shared" si="9"/>
        <v>113754.89987286962</v>
      </c>
      <c r="F52" s="30">
        <f t="shared" si="9"/>
        <v>339041.72078765527</v>
      </c>
      <c r="G52" s="30">
        <f t="shared" si="9"/>
        <v>155122.97230289722</v>
      </c>
      <c r="H52" s="30">
        <f t="shared" si="9"/>
        <v>138070.24209202366</v>
      </c>
      <c r="I52" s="30"/>
      <c r="J52" s="58"/>
      <c r="K52" s="30">
        <f t="shared" si="8"/>
        <v>473935.96814102062</v>
      </c>
    </row>
    <row r="53" spans="1:11" ht="13.5" customHeight="1">
      <c r="A53" s="7" t="s">
        <v>20</v>
      </c>
      <c r="B53" s="14">
        <v>18207.25</v>
      </c>
      <c r="C53" s="14">
        <v>1793.145</v>
      </c>
      <c r="D53" s="14">
        <v>31225.16</v>
      </c>
      <c r="E53" s="14">
        <v>7004.4629999999997</v>
      </c>
      <c r="F53" s="18">
        <v>76.710999999999999</v>
      </c>
      <c r="G53" s="14">
        <v>-2.0990000000000002</v>
      </c>
      <c r="H53" s="14">
        <v>-9.7650000000000006</v>
      </c>
      <c r="I53" s="14">
        <v>-6.5679999999999996</v>
      </c>
      <c r="J53" s="18">
        <v>28.234999999999999</v>
      </c>
      <c r="K53" s="14"/>
    </row>
    <row r="54" spans="1:11" ht="13.5" customHeight="1">
      <c r="A54" s="7" t="s">
        <v>83</v>
      </c>
      <c r="B54" s="14">
        <v>257.43299999999999</v>
      </c>
      <c r="C54" s="14">
        <v>235.32</v>
      </c>
      <c r="D54" s="14">
        <v>1397.287</v>
      </c>
      <c r="E54" s="14">
        <v>1315.4739999999999</v>
      </c>
      <c r="F54" s="18">
        <v>1219.3579999999999</v>
      </c>
      <c r="G54" s="14">
        <v>1406.502</v>
      </c>
      <c r="H54" s="14">
        <v>1205.152</v>
      </c>
      <c r="I54" s="14">
        <v>243.19399999999999</v>
      </c>
      <c r="J54" s="18">
        <v>263.42</v>
      </c>
      <c r="K54" s="14"/>
    </row>
    <row r="55" spans="1:11" s="55" customFormat="1" ht="13.5" customHeight="1">
      <c r="A55" s="50" t="s">
        <v>91</v>
      </c>
      <c r="B55" s="45">
        <v>1.0342034079830837</v>
      </c>
      <c r="C55" s="45">
        <v>1.0777711785717272</v>
      </c>
      <c r="D55" s="45">
        <v>0.94250918169834841</v>
      </c>
      <c r="E55" s="45">
        <v>1.0641786529531243</v>
      </c>
      <c r="F55" s="45">
        <v>1.2301555408665872</v>
      </c>
      <c r="G55" s="45">
        <v>1.0664755542473456</v>
      </c>
      <c r="H55" s="45">
        <v>1.2446562757228963</v>
      </c>
      <c r="I55" s="45">
        <v>1.0279858878097321</v>
      </c>
      <c r="J55" s="45">
        <v>0.94905474147748836</v>
      </c>
      <c r="K55" s="52"/>
    </row>
    <row r="56" spans="1:11" ht="13.5" customHeight="1">
      <c r="A56" s="7" t="s">
        <v>51</v>
      </c>
      <c r="B56" s="24">
        <v>937.4181542792021</v>
      </c>
      <c r="C56" s="24">
        <v>294.93122079921028</v>
      </c>
      <c r="D56" s="24">
        <v>3543.0352753997099</v>
      </c>
      <c r="E56" s="24">
        <v>7213.202868885166</v>
      </c>
      <c r="F56" s="24">
        <v>368.4229734007568</v>
      </c>
      <c r="G56" s="24">
        <v>9847.9899068753566</v>
      </c>
      <c r="H56" s="24">
        <v>6595.93644619102</v>
      </c>
      <c r="I56" s="24">
        <v>-5.8708274052813803</v>
      </c>
      <c r="J56" s="24">
        <v>196.74094601776628</v>
      </c>
      <c r="K56" s="14">
        <f t="shared" ref="K56:K62" si="10">H56*(4.032+28.08+64)/28</f>
        <v>22641.022989868263</v>
      </c>
    </row>
    <row r="57" spans="1:11" ht="13.5" customHeight="1">
      <c r="A57" s="7" t="s">
        <v>52</v>
      </c>
      <c r="B57" s="24">
        <v>2130.8252318719192</v>
      </c>
      <c r="C57" s="24">
        <v>979.34825232761432</v>
      </c>
      <c r="D57" s="24">
        <v>2634.4234364211425</v>
      </c>
      <c r="E57" s="24">
        <v>17753.832193874106</v>
      </c>
      <c r="F57" s="24">
        <v>46644.401808164628</v>
      </c>
      <c r="G57" s="24">
        <v>18747.648421402886</v>
      </c>
      <c r="H57" s="24">
        <v>14811.885139799791</v>
      </c>
      <c r="I57" s="24">
        <v>765.00242604669529</v>
      </c>
      <c r="J57" s="24">
        <v>602.37833118214257</v>
      </c>
      <c r="K57" s="14">
        <f t="shared" si="10"/>
        <v>50842.853734158482</v>
      </c>
    </row>
    <row r="58" spans="1:11" ht="13.5" customHeight="1">
      <c r="A58" s="7" t="s">
        <v>53</v>
      </c>
      <c r="B58" s="24">
        <v>3969.966475195321</v>
      </c>
      <c r="C58" s="24">
        <v>1992.9031296520918</v>
      </c>
      <c r="D58" s="24">
        <v>3283.896145928476</v>
      </c>
      <c r="E58" s="24">
        <v>25116.092970410438</v>
      </c>
      <c r="F58" s="24">
        <v>71573.640391091045</v>
      </c>
      <c r="G58" s="24">
        <v>25852.75918555395</v>
      </c>
      <c r="H58" s="24">
        <v>21578.417909110216</v>
      </c>
      <c r="I58" s="24">
        <v>1357.8100199840455</v>
      </c>
      <c r="J58" s="24">
        <v>912.78092020347731</v>
      </c>
      <c r="K58" s="14">
        <f t="shared" si="10"/>
        <v>74069.460788585755</v>
      </c>
    </row>
    <row r="59" spans="1:11" ht="13.5" customHeight="1">
      <c r="A59" s="7" t="s">
        <v>54</v>
      </c>
      <c r="B59" s="24">
        <v>4452.2619600708522</v>
      </c>
      <c r="C59" s="24">
        <v>1461.3329122407838</v>
      </c>
      <c r="D59" s="24">
        <v>3074.3923774930217</v>
      </c>
      <c r="E59" s="24">
        <v>16099.800384326394</v>
      </c>
      <c r="F59" s="24">
        <v>44897.620305111377</v>
      </c>
      <c r="G59" s="24">
        <v>29192.000793457813</v>
      </c>
      <c r="H59" s="24">
        <v>22278.962500165959</v>
      </c>
      <c r="I59" s="24">
        <v>987.21802347097378</v>
      </c>
      <c r="J59" s="24">
        <v>598.65139321236052</v>
      </c>
      <c r="K59" s="14">
        <f t="shared" si="10"/>
        <v>76474.130136283944</v>
      </c>
    </row>
    <row r="60" spans="1:11" ht="13.5" customHeight="1">
      <c r="A60" s="7" t="s">
        <v>55</v>
      </c>
      <c r="B60" s="24">
        <v>8335.4769713163732</v>
      </c>
      <c r="C60" s="24">
        <v>2724.9317807650805</v>
      </c>
      <c r="D60" s="24">
        <v>3378.1621442452179</v>
      </c>
      <c r="E60" s="24">
        <v>17046.7052727097</v>
      </c>
      <c r="F60" s="24">
        <v>46082.629137628166</v>
      </c>
      <c r="G60" s="24">
        <v>24700.277710234328</v>
      </c>
      <c r="H60" s="24">
        <v>23868.51915360054</v>
      </c>
      <c r="I60" s="24">
        <v>1848.7534643124418</v>
      </c>
      <c r="J60" s="24">
        <v>868.41166198466328</v>
      </c>
      <c r="K60" s="14">
        <f t="shared" si="10"/>
        <v>81930.396888959105</v>
      </c>
    </row>
    <row r="61" spans="1:11" ht="13.5" customHeight="1">
      <c r="A61" s="7" t="s">
        <v>56</v>
      </c>
      <c r="B61" s="24">
        <v>15092.592673330681</v>
      </c>
      <c r="C61" s="24">
        <v>6325.8770532444387</v>
      </c>
      <c r="D61" s="24">
        <v>22556.184401937415</v>
      </c>
      <c r="E61" s="24">
        <v>40533.622880040915</v>
      </c>
      <c r="F61" s="24">
        <v>64315.758374488869</v>
      </c>
      <c r="G61" s="24">
        <v>74981.224697867481</v>
      </c>
      <c r="H61" s="24">
        <v>70032.911777933405</v>
      </c>
      <c r="I61" s="24">
        <v>18.788498071498474</v>
      </c>
      <c r="J61" s="24">
        <v>2100.2847164224431</v>
      </c>
      <c r="K61" s="14">
        <f t="shared" si="10"/>
        <v>240392.97202859769</v>
      </c>
    </row>
    <row r="62" spans="1:11" s="60" customFormat="1" ht="13.5" customHeight="1">
      <c r="A62" s="56" t="s">
        <v>100</v>
      </c>
      <c r="B62" s="30">
        <f>SUM(B56:B61)</f>
        <v>34918.541466064344</v>
      </c>
      <c r="C62" s="30">
        <f t="shared" ref="C62:H62" si="11">SUM(C56:C61)</f>
        <v>13779.324349029219</v>
      </c>
      <c r="D62" s="30">
        <f t="shared" si="11"/>
        <v>38470.093781424985</v>
      </c>
      <c r="E62" s="30">
        <f t="shared" si="11"/>
        <v>123763.25657024671</v>
      </c>
      <c r="F62" s="30">
        <f t="shared" si="11"/>
        <v>273882.47298988485</v>
      </c>
      <c r="G62" s="30">
        <f t="shared" si="11"/>
        <v>183321.90071539179</v>
      </c>
      <c r="H62" s="30">
        <f t="shared" si="11"/>
        <v>159166.63292680093</v>
      </c>
      <c r="I62" s="61"/>
      <c r="J62" s="58"/>
      <c r="K62" s="30">
        <f t="shared" si="10"/>
        <v>546350.83656645322</v>
      </c>
    </row>
    <row r="63" spans="1:11" ht="13.5" customHeight="1">
      <c r="A63" s="7" t="s">
        <v>20</v>
      </c>
      <c r="B63" s="14">
        <v>17381.543000000001</v>
      </c>
      <c r="C63" s="14">
        <v>1703.77</v>
      </c>
      <c r="D63" s="14">
        <v>29766.719000000001</v>
      </c>
      <c r="E63" s="17">
        <v>6599.8609999999999</v>
      </c>
      <c r="F63" s="18">
        <v>73.938999999999993</v>
      </c>
      <c r="G63" s="14">
        <v>-6.2089999999999996</v>
      </c>
      <c r="H63" s="14">
        <v>-19.347000000000001</v>
      </c>
      <c r="I63" s="14">
        <v>-6.5359999999999996</v>
      </c>
      <c r="J63" s="18">
        <v>27.259</v>
      </c>
      <c r="K63" s="14"/>
    </row>
    <row r="64" spans="1:11" ht="13.5" customHeight="1">
      <c r="A64" s="7" t="s">
        <v>83</v>
      </c>
      <c r="B64" s="14">
        <v>254.268</v>
      </c>
      <c r="C64" s="14">
        <v>225.78200000000001</v>
      </c>
      <c r="D64" s="14">
        <v>1345.8</v>
      </c>
      <c r="E64" s="14">
        <v>1294.8869999999999</v>
      </c>
      <c r="F64" s="18">
        <v>1259.5139999999999</v>
      </c>
      <c r="G64" s="14">
        <v>1385.499</v>
      </c>
      <c r="H64" s="34">
        <v>1217.7348999999999</v>
      </c>
      <c r="I64" s="14">
        <v>232.75</v>
      </c>
      <c r="J64" s="18">
        <v>256.75799999999998</v>
      </c>
      <c r="K64" s="14"/>
    </row>
    <row r="65" spans="1:11" s="49" customFormat="1" ht="13.5" customHeight="1">
      <c r="A65" s="44" t="s">
        <v>92</v>
      </c>
      <c r="B65" s="45">
        <v>1.0833330504662331</v>
      </c>
      <c r="C65" s="45">
        <v>1.1343080345351779</v>
      </c>
      <c r="D65" s="45">
        <v>0.98868807139947135</v>
      </c>
      <c r="E65" s="45">
        <v>1.1294177256157365</v>
      </c>
      <c r="F65" s="45">
        <v>1.1909355513317041</v>
      </c>
      <c r="G65" s="45">
        <v>1.0826424270244872</v>
      </c>
      <c r="H65" s="45">
        <v>1.2317951961465505</v>
      </c>
      <c r="I65" s="45">
        <v>1.0741138560687433</v>
      </c>
      <c r="J65" s="45">
        <v>0.9736794958677043</v>
      </c>
      <c r="K65" s="46"/>
    </row>
    <row r="66" spans="1:11" ht="13.5" customHeight="1">
      <c r="A66" s="7" t="s">
        <v>57</v>
      </c>
      <c r="B66" s="29">
        <v>1583.0608283165657</v>
      </c>
      <c r="C66" s="29">
        <v>397.21022935607499</v>
      </c>
      <c r="D66" s="29">
        <v>4045.395109114982</v>
      </c>
      <c r="E66" s="29">
        <v>7072.7237100296497</v>
      </c>
      <c r="F66" s="29">
        <v>1430.5756029706697</v>
      </c>
      <c r="G66" s="29">
        <v>7241.8146819304811</v>
      </c>
      <c r="H66" s="29">
        <v>4901.32944370733</v>
      </c>
      <c r="I66" s="29">
        <v>-9.0998925886143933</v>
      </c>
      <c r="J66" s="29">
        <v>183.97089866722752</v>
      </c>
      <c r="K66" s="14">
        <f t="shared" ref="K66:K71" si="12">H66*(4.032+28.08+64)/28</f>
        <v>16824.163410485675</v>
      </c>
    </row>
    <row r="67" spans="1:11" ht="13.5" customHeight="1">
      <c r="A67" s="7" t="s">
        <v>58</v>
      </c>
      <c r="B67" s="29">
        <v>5454.8312923657004</v>
      </c>
      <c r="C67" s="29">
        <v>2387.2334392963839</v>
      </c>
      <c r="D67" s="29">
        <v>5224.8799079267019</v>
      </c>
      <c r="E67" s="29">
        <v>37342.628110379897</v>
      </c>
      <c r="F67" s="29">
        <v>84566.63284409701</v>
      </c>
      <c r="G67" s="29">
        <v>31727.925462234187</v>
      </c>
      <c r="H67" s="29">
        <v>21846.556890173717</v>
      </c>
      <c r="I67" s="29">
        <v>1872.7432867883995</v>
      </c>
      <c r="J67" s="29">
        <v>988.42587183262071</v>
      </c>
      <c r="K67" s="14">
        <f t="shared" si="12"/>
        <v>74989.866993870572</v>
      </c>
    </row>
    <row r="68" spans="1:11" ht="13.5" customHeight="1">
      <c r="A68" s="7" t="s">
        <v>59</v>
      </c>
      <c r="B68" s="29">
        <v>8666.5723204205751</v>
      </c>
      <c r="C68" s="29">
        <v>3478.4785468930663</v>
      </c>
      <c r="D68" s="29">
        <v>5178.1465012989847</v>
      </c>
      <c r="E68" s="29">
        <v>44455.834669366515</v>
      </c>
      <c r="F68" s="29">
        <v>104428.11155731496</v>
      </c>
      <c r="G68" s="29">
        <v>38674.795867770379</v>
      </c>
      <c r="H68" s="29">
        <v>33242.870385828646</v>
      </c>
      <c r="I68" s="29">
        <v>2905.0279269602579</v>
      </c>
      <c r="J68" s="29">
        <v>1321.5644692667804</v>
      </c>
      <c r="K68" s="14">
        <f t="shared" si="12"/>
        <v>114108.52709009867</v>
      </c>
    </row>
    <row r="69" spans="1:11" ht="13.5" customHeight="1">
      <c r="A69" s="7" t="s">
        <v>60</v>
      </c>
      <c r="B69" s="29">
        <v>9484.0578236351048</v>
      </c>
      <c r="C69" s="29">
        <v>3305.6892338461175</v>
      </c>
      <c r="D69" s="29">
        <v>5443.5158174469952</v>
      </c>
      <c r="E69" s="29">
        <v>29399.636993082127</v>
      </c>
      <c r="F69" s="29">
        <v>72376.52261110238</v>
      </c>
      <c r="G69" s="29">
        <v>47270.839242756578</v>
      </c>
      <c r="H69" s="29">
        <v>39846.877124957173</v>
      </c>
      <c r="I69" s="29">
        <v>3364.5832438238458</v>
      </c>
      <c r="J69" s="29">
        <v>1269.1639598376682</v>
      </c>
      <c r="K69" s="14">
        <f t="shared" si="12"/>
        <v>136777.25193692441</v>
      </c>
    </row>
    <row r="70" spans="1:11" ht="13.5" customHeight="1">
      <c r="A70" s="7" t="s">
        <v>61</v>
      </c>
      <c r="B70" s="29">
        <v>13802.682912673519</v>
      </c>
      <c r="C70" s="29">
        <v>4358.3551073032149</v>
      </c>
      <c r="D70" s="29">
        <v>13674.665038864377</v>
      </c>
      <c r="E70" s="29">
        <v>50709.206930267166</v>
      </c>
      <c r="F70" s="29">
        <v>138117.94787513278</v>
      </c>
      <c r="G70" s="29">
        <v>58347.275963389358</v>
      </c>
      <c r="H70" s="29">
        <v>61263.690420712264</v>
      </c>
      <c r="I70" s="29">
        <v>4408.8571428571431</v>
      </c>
      <c r="J70" s="29">
        <v>1549.5671020961372</v>
      </c>
      <c r="K70" s="14">
        <f t="shared" si="12"/>
        <v>210291.99334698202</v>
      </c>
    </row>
    <row r="71" spans="1:11" ht="13.5" customHeight="1">
      <c r="A71" s="7" t="s">
        <v>62</v>
      </c>
      <c r="B71" s="29">
        <v>15676.971506614807</v>
      </c>
      <c r="C71" s="29">
        <v>7181.9024006996251</v>
      </c>
      <c r="D71" s="29">
        <v>19386.13094493216</v>
      </c>
      <c r="E71" s="29">
        <v>29827.009563989301</v>
      </c>
      <c r="F71" s="29">
        <v>41693.831906592539</v>
      </c>
      <c r="G71" s="29">
        <v>50689.368234838134</v>
      </c>
      <c r="H71" s="29">
        <v>70216.634162134156</v>
      </c>
      <c r="I71" s="29">
        <v>-1.9763694951664879</v>
      </c>
      <c r="J71" s="29">
        <v>2411.7573746485023</v>
      </c>
      <c r="K71" s="14">
        <f t="shared" si="12"/>
        <v>241023.61223539422</v>
      </c>
    </row>
    <row r="72" spans="1:11" s="60" customFormat="1" ht="13.5" customHeight="1">
      <c r="A72" s="56" t="s">
        <v>101</v>
      </c>
      <c r="B72" s="30">
        <f>SUM(B66:B71)</f>
        <v>54668.176684026272</v>
      </c>
      <c r="C72" s="30">
        <f t="shared" ref="C72:H72" si="13">SUM(C66:C71)</f>
        <v>21108.868957394483</v>
      </c>
      <c r="D72" s="30">
        <f t="shared" si="13"/>
        <v>52952.733319584207</v>
      </c>
      <c r="E72" s="30">
        <f t="shared" si="13"/>
        <v>198807.03997711465</v>
      </c>
      <c r="F72" s="30">
        <f t="shared" si="13"/>
        <v>442613.62239721033</v>
      </c>
      <c r="G72" s="30">
        <f t="shared" si="13"/>
        <v>233952.01945291908</v>
      </c>
      <c r="H72" s="30">
        <f t="shared" si="13"/>
        <v>231317.95842751331</v>
      </c>
      <c r="I72" s="30"/>
      <c r="J72" s="58"/>
      <c r="K72" s="30">
        <f>SUM(K66:K71)</f>
        <v>794015.41501375556</v>
      </c>
    </row>
    <row r="73" spans="1:11" ht="13.5" customHeight="1">
      <c r="A73" s="7" t="s">
        <v>20</v>
      </c>
      <c r="B73" s="14">
        <v>16699.934000000001</v>
      </c>
      <c r="C73" s="14">
        <v>1647.828</v>
      </c>
      <c r="D73" s="68">
        <v>27679.096000000001</v>
      </c>
      <c r="E73" s="14">
        <v>5972.7790000000005</v>
      </c>
      <c r="F73" s="18">
        <v>73.900999999999996</v>
      </c>
      <c r="G73" s="14">
        <v>-11.243</v>
      </c>
      <c r="H73" s="14">
        <v>-16.539000000000001</v>
      </c>
      <c r="I73" s="14">
        <v>-6.6</v>
      </c>
      <c r="J73" s="18">
        <v>26.222000000000001</v>
      </c>
      <c r="K73" s="14"/>
    </row>
    <row r="74" spans="1:11" ht="13.5" customHeight="1">
      <c r="A74" s="7" t="s">
        <v>83</v>
      </c>
      <c r="B74" s="14">
        <v>242.405</v>
      </c>
      <c r="C74" s="14">
        <v>213.739</v>
      </c>
      <c r="D74" s="14">
        <v>1273.779</v>
      </c>
      <c r="E74" s="14">
        <v>1234.182</v>
      </c>
      <c r="F74" s="18">
        <v>1208.8109999999999</v>
      </c>
      <c r="G74" s="14">
        <v>1314.63</v>
      </c>
      <c r="H74" s="43">
        <v>1209.8975031</v>
      </c>
      <c r="I74" s="14">
        <v>227.51300000000001</v>
      </c>
      <c r="J74" s="18">
        <v>245.25800000000001</v>
      </c>
      <c r="K74" s="14"/>
    </row>
    <row r="75" spans="1:11" s="55" customFormat="1" ht="13.5" customHeight="1">
      <c r="A75" s="50" t="s">
        <v>93</v>
      </c>
      <c r="B75" s="45">
        <f>B$4/B73</f>
        <v>1.1275493663627651</v>
      </c>
      <c r="C75" s="45">
        <f>C$4/C73</f>
        <v>1.1728165803712522</v>
      </c>
      <c r="D75" s="45">
        <f>D$4/D73</f>
        <v>1.0632572682287023</v>
      </c>
      <c r="E75" s="45">
        <f>E$4/E73</f>
        <v>1.247995279919113</v>
      </c>
      <c r="F75" s="45">
        <f>1500/F74</f>
        <v>1.2408887741756156</v>
      </c>
      <c r="G75" s="45">
        <f>1500/G74</f>
        <v>1.1410054540060701</v>
      </c>
      <c r="H75" s="45">
        <f>1500/H74</f>
        <v>1.2397744405263249</v>
      </c>
      <c r="I75" s="45">
        <f>250/I74</f>
        <v>1.0988383081406337</v>
      </c>
      <c r="J75" s="51">
        <f>250/J74</f>
        <v>1.0193347413743894</v>
      </c>
      <c r="K75" s="52"/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BDC47-10FD-4B94-B5F6-1DB89FD7F3F5}">
  <dimension ref="A1:AA53"/>
  <sheetViews>
    <sheetView tabSelected="1" topLeftCell="A3" zoomScale="87" zoomScaleNormal="87" workbookViewId="0">
      <pane xSplit="5040" ySplit="750" activePane="bottomRight"/>
      <selection activeCell="D6" sqref="D6"/>
      <selection pane="topRight" activeCell="U1" sqref="U1:U1048576"/>
      <selection pane="bottomLeft" activeCell="B9" sqref="B9"/>
      <selection pane="bottomRight" activeCell="E16" sqref="E16"/>
    </sheetView>
  </sheetViews>
  <sheetFormatPr defaultColWidth="15.36328125" defaultRowHeight="14.5"/>
  <cols>
    <col min="2" max="11" width="8.36328125" customWidth="1"/>
    <col min="12" max="12" width="1.26953125" customWidth="1"/>
    <col min="13" max="19" width="8.453125" customWidth="1"/>
    <col min="20" max="20" width="7.7265625" bestFit="1" customWidth="1"/>
    <col min="21" max="21" width="5.7265625" style="80" customWidth="1"/>
    <col min="22" max="22" width="8.54296875" style="84" bestFit="1" customWidth="1"/>
    <col min="23" max="23" width="8" style="80" customWidth="1"/>
    <col min="24" max="24" width="9.08984375" style="80" bestFit="1" customWidth="1"/>
    <col min="25" max="25" width="10.90625" style="80" bestFit="1" customWidth="1"/>
    <col min="26" max="26" width="8.26953125" style="80" bestFit="1" customWidth="1"/>
    <col min="27" max="27" width="9.36328125" bestFit="1" customWidth="1"/>
  </cols>
  <sheetData>
    <row r="1" spans="1:27">
      <c r="A1" t="s">
        <v>103</v>
      </c>
    </row>
    <row r="2" spans="1:27">
      <c r="M2" t="s">
        <v>113</v>
      </c>
    </row>
    <row r="3" spans="1:27" s="79" customFormat="1" ht="16.5">
      <c r="B3" s="79" t="s">
        <v>63</v>
      </c>
      <c r="C3" s="79" t="s">
        <v>68</v>
      </c>
      <c r="D3" s="79" t="s">
        <v>69</v>
      </c>
      <c r="E3" s="79" t="s">
        <v>64</v>
      </c>
      <c r="F3" s="79" t="s">
        <v>74</v>
      </c>
      <c r="G3" s="79" t="s">
        <v>65</v>
      </c>
      <c r="H3" s="79" t="s">
        <v>66</v>
      </c>
      <c r="I3" s="79" t="s">
        <v>67</v>
      </c>
      <c r="J3" s="79" t="s">
        <v>73</v>
      </c>
      <c r="K3" s="79" t="s">
        <v>94</v>
      </c>
      <c r="M3" s="79" t="s">
        <v>63</v>
      </c>
      <c r="N3" s="79" t="s">
        <v>68</v>
      </c>
      <c r="O3" s="79" t="s">
        <v>69</v>
      </c>
      <c r="P3" s="79" t="s">
        <v>64</v>
      </c>
      <c r="Q3" s="79" t="s">
        <v>74</v>
      </c>
      <c r="R3" s="79" t="s">
        <v>65</v>
      </c>
      <c r="S3" s="79" t="s">
        <v>66</v>
      </c>
      <c r="T3" s="79" t="s">
        <v>94</v>
      </c>
      <c r="U3" s="79" t="s">
        <v>110</v>
      </c>
      <c r="V3" s="79" t="s">
        <v>107</v>
      </c>
      <c r="W3" s="79" t="s">
        <v>106</v>
      </c>
      <c r="X3" s="79" t="s">
        <v>111</v>
      </c>
      <c r="Y3" s="79" t="s">
        <v>112</v>
      </c>
      <c r="Z3" s="79" t="s">
        <v>108</v>
      </c>
      <c r="AA3" s="79" t="s">
        <v>109</v>
      </c>
    </row>
    <row r="4" spans="1:27" s="13" customFormat="1" ht="12">
      <c r="B4" s="13" t="s">
        <v>105</v>
      </c>
      <c r="C4" s="13" t="s">
        <v>105</v>
      </c>
      <c r="D4" s="13" t="s">
        <v>105</v>
      </c>
      <c r="E4" s="13" t="s">
        <v>105</v>
      </c>
      <c r="F4" s="13" t="s">
        <v>105</v>
      </c>
      <c r="G4" s="13" t="s">
        <v>105</v>
      </c>
      <c r="H4" s="13" t="s">
        <v>105</v>
      </c>
      <c r="I4" s="13" t="s">
        <v>105</v>
      </c>
      <c r="J4" s="13" t="s">
        <v>105</v>
      </c>
      <c r="K4" s="13" t="s">
        <v>105</v>
      </c>
      <c r="M4" s="13" t="s">
        <v>104</v>
      </c>
      <c r="N4" s="13" t="s">
        <v>104</v>
      </c>
      <c r="O4" s="13" t="s">
        <v>104</v>
      </c>
      <c r="P4" s="13" t="s">
        <v>104</v>
      </c>
      <c r="Q4" s="13" t="s">
        <v>104</v>
      </c>
      <c r="R4" s="13" t="s">
        <v>104</v>
      </c>
      <c r="S4" s="13" t="s">
        <v>104</v>
      </c>
      <c r="T4" s="13" t="s">
        <v>104</v>
      </c>
    </row>
    <row r="5" spans="1:27">
      <c r="A5" t="s">
        <v>21</v>
      </c>
      <c r="B5" s="77">
        <v>100.14028671250706</v>
      </c>
      <c r="C5" s="77">
        <v>45.158981607692667</v>
      </c>
      <c r="D5" s="77">
        <v>45.068626646163587</v>
      </c>
      <c r="E5" s="77">
        <v>35.887456037221682</v>
      </c>
      <c r="F5" s="77">
        <v>63.768265830265015</v>
      </c>
      <c r="G5" s="77">
        <v>2723.8460612159251</v>
      </c>
      <c r="H5" s="77">
        <v>1362.9881449431689</v>
      </c>
      <c r="I5" s="76">
        <v>-2.6973535589894366E-2</v>
      </c>
      <c r="J5" s="76">
        <v>2.5303245785737238</v>
      </c>
      <c r="K5" s="77">
        <v>4678.5541638134946</v>
      </c>
      <c r="M5" s="76">
        <f>B5/22.9898</f>
        <v>4.3558572372316009</v>
      </c>
      <c r="N5" s="76">
        <f>C5/39.948</f>
        <v>1.1304441175451254</v>
      </c>
      <c r="O5" s="76">
        <f>D5/40.08</f>
        <v>1.1244667326887123</v>
      </c>
      <c r="P5" s="76">
        <f>E5/24.315</f>
        <v>1.4759389692462135</v>
      </c>
      <c r="Q5" s="76">
        <f>F5/55.585</f>
        <v>1.1472207579430604</v>
      </c>
      <c r="R5" s="76">
        <f>G5/26.98</f>
        <v>100.95797113476372</v>
      </c>
      <c r="S5" s="76">
        <f>H5/28.0855</f>
        <v>48.529958339469438</v>
      </c>
      <c r="T5" s="76">
        <f>S5*(4.032+28.08+64)/28</f>
        <v>166.58254842582451</v>
      </c>
      <c r="V5" s="85"/>
      <c r="W5" s="76"/>
    </row>
    <row r="6" spans="1:27">
      <c r="A6" t="s">
        <v>22</v>
      </c>
      <c r="B6" s="77">
        <v>214.26601147842584</v>
      </c>
      <c r="C6" s="77">
        <v>160.27119909692917</v>
      </c>
      <c r="D6" s="77">
        <v>-10.808992898752834</v>
      </c>
      <c r="E6" s="77">
        <v>58.223161916347919</v>
      </c>
      <c r="F6" s="77">
        <v>714.5936451656894</v>
      </c>
      <c r="G6" s="77">
        <v>6135.933118406746</v>
      </c>
      <c r="H6" s="77">
        <v>2822.9558662230866</v>
      </c>
      <c r="I6" s="76">
        <v>16.930108197594635</v>
      </c>
      <c r="J6" s="76">
        <v>14.773970609716907</v>
      </c>
      <c r="K6" s="77">
        <v>9689.9976505154755</v>
      </c>
      <c r="M6" s="76">
        <f t="shared" ref="M6:M53" si="0">B6/22.9898</f>
        <v>9.3200467806777727</v>
      </c>
      <c r="N6" s="76">
        <f t="shared" ref="N6:N53" si="1">C6/39.948</f>
        <v>4.0119955716663958</v>
      </c>
      <c r="O6" s="76">
        <f t="shared" ref="O6:O53" si="2">D6/40.08</f>
        <v>-0.26968545156568946</v>
      </c>
      <c r="P6" s="76">
        <f t="shared" ref="P6:P53" si="3">E6/24.315</f>
        <v>2.3945367845506031</v>
      </c>
      <c r="Q6" s="76">
        <f t="shared" ref="Q6:Q53" si="4">F6/55.585</f>
        <v>12.855872000821973</v>
      </c>
      <c r="R6" s="76">
        <f t="shared" ref="R6:R53" si="5">G6/26.98</f>
        <v>227.42524530788532</v>
      </c>
      <c r="S6" s="76">
        <f t="shared" ref="S6:S53" si="6">H6/28.0855</f>
        <v>100.51292895704498</v>
      </c>
      <c r="T6" s="76">
        <f t="shared" ref="T6:T53" si="7">S6*(4.032+28.08+64)/28</f>
        <v>345.01780813998232</v>
      </c>
    </row>
    <row r="7" spans="1:27">
      <c r="A7" t="s">
        <v>23</v>
      </c>
      <c r="B7" s="77">
        <v>134.73440906067799</v>
      </c>
      <c r="C7" s="77">
        <v>81.073841093245107</v>
      </c>
      <c r="D7" s="77">
        <v>-13.92356332857031</v>
      </c>
      <c r="E7" s="77">
        <v>19.190395893979275</v>
      </c>
      <c r="F7" s="77">
        <v>182.47325423882907</v>
      </c>
      <c r="G7" s="77">
        <v>4159.6789693061937</v>
      </c>
      <c r="H7" s="77">
        <v>1936.4414226068197</v>
      </c>
      <c r="I7" s="76">
        <v>15.432234049368313</v>
      </c>
      <c r="J7" s="76">
        <v>1.281437961962079</v>
      </c>
      <c r="K7" s="77">
        <v>6646.9735003423802</v>
      </c>
      <c r="M7" s="76">
        <f t="shared" si="0"/>
        <v>5.8606168414113213</v>
      </c>
      <c r="N7" s="76">
        <f t="shared" si="1"/>
        <v>2.0294843569952215</v>
      </c>
      <c r="O7" s="76">
        <f t="shared" si="2"/>
        <v>-0.34739429462500776</v>
      </c>
      <c r="P7" s="76">
        <f t="shared" si="3"/>
        <v>0.78924104026235964</v>
      </c>
      <c r="Q7" s="76">
        <f t="shared" si="4"/>
        <v>3.2827787035860228</v>
      </c>
      <c r="R7" s="76">
        <f t="shared" si="5"/>
        <v>154.17638878080777</v>
      </c>
      <c r="S7" s="76">
        <f t="shared" si="6"/>
        <v>68.948084335575999</v>
      </c>
      <c r="T7" s="76">
        <f t="shared" si="7"/>
        <v>236.66922434503141</v>
      </c>
    </row>
    <row r="8" spans="1:27">
      <c r="A8" t="s">
        <v>24</v>
      </c>
      <c r="B8" s="77">
        <v>392.69128250846404</v>
      </c>
      <c r="C8" s="77">
        <v>82.49486712223306</v>
      </c>
      <c r="D8" s="77">
        <v>104.54553529349039</v>
      </c>
      <c r="E8" s="77">
        <v>58.17100397759512</v>
      </c>
      <c r="F8" s="77">
        <v>412.79951997818085</v>
      </c>
      <c r="G8" s="77">
        <v>5615.2916412315672</v>
      </c>
      <c r="H8" s="77">
        <v>2922.47249339983</v>
      </c>
      <c r="I8" s="76">
        <v>14.362564778631565</v>
      </c>
      <c r="J8" s="76">
        <v>3.1683309474422274</v>
      </c>
      <c r="K8" s="77">
        <v>10031.595581630159</v>
      </c>
      <c r="M8" s="76">
        <f t="shared" si="0"/>
        <v>17.081109122674579</v>
      </c>
      <c r="N8" s="76">
        <f t="shared" si="1"/>
        <v>2.0650562511823636</v>
      </c>
      <c r="O8" s="76">
        <f t="shared" si="2"/>
        <v>2.6084215392587424</v>
      </c>
      <c r="P8" s="76">
        <f t="shared" si="3"/>
        <v>2.3923916914495216</v>
      </c>
      <c r="Q8" s="76">
        <f t="shared" si="4"/>
        <v>7.4264553382779681</v>
      </c>
      <c r="R8" s="76">
        <f t="shared" si="5"/>
        <v>208.12793332956142</v>
      </c>
      <c r="S8" s="76">
        <f t="shared" si="6"/>
        <v>104.05627435508822</v>
      </c>
      <c r="T8" s="76">
        <f t="shared" si="7"/>
        <v>357.18059431486563</v>
      </c>
    </row>
    <row r="9" spans="1:27">
      <c r="A9" t="s">
        <v>25</v>
      </c>
      <c r="B9" s="77">
        <v>721.47975543326982</v>
      </c>
      <c r="C9" s="77">
        <v>91.404435330788715</v>
      </c>
      <c r="D9" s="77">
        <v>-5.2056780082944583</v>
      </c>
      <c r="E9" s="77">
        <v>117.76983152854832</v>
      </c>
      <c r="F9" s="77">
        <v>211.14046274830676</v>
      </c>
      <c r="G9" s="77">
        <v>116.23115020697813</v>
      </c>
      <c r="H9" s="77">
        <v>410.16395893047951</v>
      </c>
      <c r="I9" s="76">
        <v>13.908229288539282</v>
      </c>
      <c r="J9" s="76">
        <v>4.3564550527330619</v>
      </c>
      <c r="K9" s="77">
        <v>1407.9170864545088</v>
      </c>
      <c r="M9" s="76">
        <f t="shared" si="0"/>
        <v>31.382602520825316</v>
      </c>
      <c r="N9" s="76">
        <f t="shared" si="1"/>
        <v>2.2880853942822847</v>
      </c>
      <c r="O9" s="76">
        <f t="shared" si="2"/>
        <v>-0.12988218583569008</v>
      </c>
      <c r="P9" s="76">
        <f t="shared" si="3"/>
        <v>4.8435053065411608</v>
      </c>
      <c r="Q9" s="76">
        <f t="shared" si="4"/>
        <v>3.798515116457799</v>
      </c>
      <c r="R9" s="76">
        <f t="shared" si="5"/>
        <v>4.3080485621563431</v>
      </c>
      <c r="S9" s="76">
        <f t="shared" si="6"/>
        <v>14.604118101172475</v>
      </c>
      <c r="T9" s="76">
        <f t="shared" si="7"/>
        <v>50.129678533567457</v>
      </c>
    </row>
    <row r="10" spans="1:27">
      <c r="A10" t="s">
        <v>26</v>
      </c>
      <c r="B10" s="77">
        <v>357.42776102544639</v>
      </c>
      <c r="C10" s="77">
        <v>64.194105566159408</v>
      </c>
      <c r="D10" s="77">
        <v>65.562630101851965</v>
      </c>
      <c r="E10" s="77">
        <v>27.996989091820559</v>
      </c>
      <c r="F10" s="77">
        <v>710.09664075639807</v>
      </c>
      <c r="G10" s="77">
        <v>10274.918895814655</v>
      </c>
      <c r="H10" s="77">
        <v>3774.7317008138357</v>
      </c>
      <c r="I10" s="76">
        <v>60.82279398625024</v>
      </c>
      <c r="J10" s="76">
        <v>6.7207677700195738</v>
      </c>
      <c r="K10" s="77">
        <v>12957.036186736406</v>
      </c>
      <c r="M10" s="76">
        <f t="shared" si="0"/>
        <v>15.547232295428685</v>
      </c>
      <c r="N10" s="76">
        <f t="shared" si="1"/>
        <v>1.6069416633162963</v>
      </c>
      <c r="O10" s="76">
        <f t="shared" si="2"/>
        <v>1.6357941642178635</v>
      </c>
      <c r="P10" s="76">
        <f t="shared" si="3"/>
        <v>1.1514287103360294</v>
      </c>
      <c r="Q10" s="76">
        <f t="shared" si="4"/>
        <v>12.774968800151084</v>
      </c>
      <c r="R10" s="76">
        <f t="shared" si="5"/>
        <v>380.83465143864549</v>
      </c>
      <c r="S10" s="76">
        <f t="shared" si="6"/>
        <v>134.40144205422143</v>
      </c>
      <c r="T10" s="76">
        <f t="shared" si="7"/>
        <v>461.34254995411891</v>
      </c>
    </row>
    <row r="11" spans="1:27" s="75" customFormat="1">
      <c r="A11" s="75" t="s">
        <v>95</v>
      </c>
      <c r="B11" s="78">
        <f>SUM(B5:B10)</f>
        <v>1920.7395062187913</v>
      </c>
      <c r="C11" s="78">
        <f t="shared" ref="C11:K11" si="8">SUM(C5:C10)</f>
        <v>524.59742981704812</v>
      </c>
      <c r="D11" s="78">
        <f t="shared" si="8"/>
        <v>185.23855780588835</v>
      </c>
      <c r="E11" s="78">
        <f t="shared" si="8"/>
        <v>317.2388384455129</v>
      </c>
      <c r="F11" s="78">
        <f t="shared" si="8"/>
        <v>2294.871788717669</v>
      </c>
      <c r="G11" s="78">
        <f t="shared" si="8"/>
        <v>29025.899836182067</v>
      </c>
      <c r="H11" s="78">
        <f t="shared" si="8"/>
        <v>13229.753586917221</v>
      </c>
      <c r="I11" s="78">
        <f t="shared" si="8"/>
        <v>121.42895676479414</v>
      </c>
      <c r="J11" s="78">
        <f t="shared" si="8"/>
        <v>32.831286920447575</v>
      </c>
      <c r="K11" s="78">
        <f t="shared" si="8"/>
        <v>45412.074169492422</v>
      </c>
      <c r="M11" s="76">
        <f t="shared" si="0"/>
        <v>83.54746479824928</v>
      </c>
      <c r="N11" s="76">
        <f t="shared" si="1"/>
        <v>13.132007354987687</v>
      </c>
      <c r="O11" s="76">
        <f t="shared" si="2"/>
        <v>4.6217205041389313</v>
      </c>
      <c r="P11" s="76">
        <f t="shared" si="3"/>
        <v>13.047042502385889</v>
      </c>
      <c r="Q11" s="76">
        <f t="shared" si="4"/>
        <v>41.285810717237908</v>
      </c>
      <c r="R11" s="76">
        <f t="shared" si="5"/>
        <v>1075.8302385538202</v>
      </c>
      <c r="S11" s="76">
        <f t="shared" si="6"/>
        <v>471.05280614257254</v>
      </c>
      <c r="T11" s="76">
        <f t="shared" si="7"/>
        <v>1616.9224037133902</v>
      </c>
      <c r="U11" s="82"/>
      <c r="V11" s="84"/>
      <c r="W11" s="80"/>
      <c r="X11" s="82"/>
      <c r="Y11" s="82"/>
      <c r="Z11" s="82"/>
    </row>
    <row r="12" spans="1:27">
      <c r="A12" t="s">
        <v>27</v>
      </c>
      <c r="B12" s="77">
        <v>248.34785130808237</v>
      </c>
      <c r="C12" s="77">
        <v>131.1171777487591</v>
      </c>
      <c r="D12" s="77">
        <v>1664.8959117650711</v>
      </c>
      <c r="E12" s="77">
        <v>10604.19191558415</v>
      </c>
      <c r="F12" s="77">
        <v>3737.7028219811805</v>
      </c>
      <c r="G12" s="77">
        <v>9035.9892</v>
      </c>
      <c r="H12" s="77">
        <v>14499.081</v>
      </c>
      <c r="I12" s="77">
        <v>1146.48</v>
      </c>
      <c r="J12" s="77">
        <v>296.17440000000005</v>
      </c>
      <c r="K12" s="77">
        <v>49769.13118114286</v>
      </c>
      <c r="M12" s="76">
        <f t="shared" si="0"/>
        <v>10.802523349836989</v>
      </c>
      <c r="N12" s="76">
        <f t="shared" si="1"/>
        <v>3.2821962989075573</v>
      </c>
      <c r="O12" s="76">
        <f t="shared" si="2"/>
        <v>41.53931915581515</v>
      </c>
      <c r="P12" s="76">
        <f t="shared" si="3"/>
        <v>436.1172903797717</v>
      </c>
      <c r="Q12" s="76">
        <f t="shared" si="4"/>
        <v>67.243011999301615</v>
      </c>
      <c r="R12" s="76">
        <f t="shared" si="5"/>
        <v>334.9143513713862</v>
      </c>
      <c r="S12" s="76">
        <f t="shared" si="6"/>
        <v>516.24792152534224</v>
      </c>
      <c r="T12" s="76">
        <f t="shared" si="7"/>
        <v>1772.0578654872747</v>
      </c>
      <c r="U12" s="83">
        <f>-LOG(V12)</f>
        <v>3.5214335044061564</v>
      </c>
      <c r="V12" s="86">
        <f>3.01*10^-4</f>
        <v>3.01E-4</v>
      </c>
      <c r="W12" s="81">
        <f>P12/1000000</f>
        <v>4.3611729037977169E-4</v>
      </c>
      <c r="X12" s="77">
        <f>W12/(V12*V12)</f>
        <v>4813.6034964268792</v>
      </c>
      <c r="Y12" s="76">
        <f>LOG(X12)</f>
        <v>3.6824703139394637</v>
      </c>
      <c r="Z12" s="81">
        <f>S12/1000000</f>
        <v>5.1624792152534221E-4</v>
      </c>
      <c r="AA12" s="76">
        <f>LOG(Z12)</f>
        <v>-3.287141683852524</v>
      </c>
    </row>
    <row r="13" spans="1:27">
      <c r="A13" t="s">
        <v>28</v>
      </c>
      <c r="B13" s="77">
        <v>845.05704264576252</v>
      </c>
      <c r="C13" s="77">
        <v>529.49416743732047</v>
      </c>
      <c r="D13" s="77">
        <v>3801.243822110911</v>
      </c>
      <c r="E13" s="77">
        <v>11850.201257465844</v>
      </c>
      <c r="F13" s="77">
        <v>13461.808407105478</v>
      </c>
      <c r="G13" s="77">
        <v>22252.643100000001</v>
      </c>
      <c r="H13" s="77">
        <v>22064.519</v>
      </c>
      <c r="I13" s="77">
        <v>10197.57835</v>
      </c>
      <c r="J13" s="77">
        <v>421.62240000000003</v>
      </c>
      <c r="K13" s="77">
        <v>75738.037504571417</v>
      </c>
      <c r="M13" s="76">
        <f t="shared" si="0"/>
        <v>36.757911884651563</v>
      </c>
      <c r="N13" s="76">
        <f t="shared" si="1"/>
        <v>13.254585146623622</v>
      </c>
      <c r="O13" s="76">
        <f t="shared" si="2"/>
        <v>94.841412727318144</v>
      </c>
      <c r="P13" s="76">
        <f t="shared" si="3"/>
        <v>487.36176259370114</v>
      </c>
      <c r="Q13" s="76">
        <f t="shared" si="4"/>
        <v>242.18419370523483</v>
      </c>
      <c r="R13" s="76">
        <f t="shared" si="5"/>
        <v>824.78291697553743</v>
      </c>
      <c r="S13" s="76">
        <f t="shared" si="6"/>
        <v>785.61959017998618</v>
      </c>
      <c r="T13" s="76">
        <f t="shared" si="7"/>
        <v>2696.6953589778154</v>
      </c>
      <c r="U13" s="83">
        <v>3.49</v>
      </c>
      <c r="V13" s="86">
        <f>3.25*10^-4</f>
        <v>3.2500000000000004E-4</v>
      </c>
      <c r="W13" s="81">
        <f>P13/1000000</f>
        <v>4.8736176259370114E-4</v>
      </c>
      <c r="X13" s="77">
        <f t="shared" ref="X13:X52" si="9">W13/(V13*V13)</f>
        <v>4614.075858875276</v>
      </c>
      <c r="Y13" s="76">
        <f t="shared" ref="Y13:Y52" si="10">LOG(X13)</f>
        <v>3.6640847303714885</v>
      </c>
      <c r="Z13" s="81">
        <f>S13/1000000</f>
        <v>7.8561959017998614E-4</v>
      </c>
      <c r="AA13" s="76">
        <f>LOG(Z13)</f>
        <v>-3.1047876955355287</v>
      </c>
    </row>
    <row r="14" spans="1:27">
      <c r="A14" t="s">
        <v>29</v>
      </c>
      <c r="B14" s="77">
        <v>536.77760726710903</v>
      </c>
      <c r="C14" s="77">
        <v>360.54078912608719</v>
      </c>
      <c r="D14" s="77">
        <v>1860.7885343184987</v>
      </c>
      <c r="E14" s="77">
        <v>16137.300347753486</v>
      </c>
      <c r="F14" s="77">
        <v>19622.012843764736</v>
      </c>
      <c r="G14" s="77">
        <v>15767.278200000001</v>
      </c>
      <c r="H14" s="77">
        <v>20760.091</v>
      </c>
      <c r="I14" s="77">
        <v>12826.897800000001</v>
      </c>
      <c r="J14" s="77">
        <v>623.96</v>
      </c>
      <c r="K14" s="77">
        <v>71260.495221142861</v>
      </c>
      <c r="M14" s="76">
        <f t="shared" si="0"/>
        <v>23.348511394927709</v>
      </c>
      <c r="N14" s="76">
        <f t="shared" si="1"/>
        <v>9.0252525564755981</v>
      </c>
      <c r="O14" s="76">
        <f t="shared" si="2"/>
        <v>46.426859638685102</v>
      </c>
      <c r="P14" s="76">
        <f t="shared" si="3"/>
        <v>663.67675705340264</v>
      </c>
      <c r="Q14" s="76">
        <f t="shared" si="4"/>
        <v>353.00913634550216</v>
      </c>
      <c r="R14" s="76">
        <f t="shared" si="5"/>
        <v>584.40616011860641</v>
      </c>
      <c r="S14" s="76">
        <f t="shared" si="6"/>
        <v>739.17469868793512</v>
      </c>
      <c r="T14" s="76">
        <f t="shared" si="7"/>
        <v>2537.2699514391002</v>
      </c>
      <c r="U14" s="80">
        <v>3.58</v>
      </c>
      <c r="V14" s="86">
        <f>2.6*10^-4</f>
        <v>2.6000000000000003E-4</v>
      </c>
      <c r="W14" s="81">
        <f>P14/1000000</f>
        <v>6.6367675705340259E-4</v>
      </c>
      <c r="X14" s="77">
        <f t="shared" si="9"/>
        <v>9817.7035067071374</v>
      </c>
      <c r="Y14" s="76">
        <f t="shared" si="10"/>
        <v>3.992009912328391</v>
      </c>
      <c r="Z14" s="81">
        <f>S14/1000000</f>
        <v>7.3917469868793508E-4</v>
      </c>
      <c r="AA14" s="76">
        <f t="shared" ref="AA14:AA52" si="11">LOG(Z14)</f>
        <v>-3.1312529070588795</v>
      </c>
    </row>
    <row r="15" spans="1:27">
      <c r="A15" t="s">
        <v>30</v>
      </c>
      <c r="B15" s="77">
        <v>959.44624711403969</v>
      </c>
      <c r="C15" s="77">
        <v>476.0361991744129</v>
      </c>
      <c r="D15" s="77">
        <v>1624.2561043428607</v>
      </c>
      <c r="E15" s="77">
        <v>9842.0066500227949</v>
      </c>
      <c r="F15" s="77">
        <v>10285.824166722809</v>
      </c>
      <c r="G15" s="77">
        <v>7957.2204000000002</v>
      </c>
      <c r="H15" s="77">
        <v>11152.456</v>
      </c>
      <c r="I15" s="77">
        <v>6390.3561</v>
      </c>
      <c r="J15" s="77">
        <v>430.64160000000004</v>
      </c>
      <c r="K15" s="77">
        <v>38281.601823999998</v>
      </c>
      <c r="M15" s="76">
        <f t="shared" si="0"/>
        <v>41.733562149911691</v>
      </c>
      <c r="N15" s="76">
        <f t="shared" si="1"/>
        <v>11.916396294543228</v>
      </c>
      <c r="O15" s="76">
        <f t="shared" si="2"/>
        <v>40.525351904761997</v>
      </c>
      <c r="P15" s="76">
        <f t="shared" si="3"/>
        <v>404.77099115865906</v>
      </c>
      <c r="Q15" s="76">
        <f t="shared" si="4"/>
        <v>185.04676021809496</v>
      </c>
      <c r="R15" s="76">
        <f t="shared" si="5"/>
        <v>294.93033358042993</v>
      </c>
      <c r="S15" s="76">
        <f t="shared" si="6"/>
        <v>397.08945897349167</v>
      </c>
      <c r="T15" s="76">
        <f t="shared" si="7"/>
        <v>1363.037931459294</v>
      </c>
      <c r="U15" s="80">
        <v>3.66</v>
      </c>
      <c r="V15" s="86">
        <f>2.2*10^-4</f>
        <v>2.2000000000000003E-4</v>
      </c>
      <c r="W15" s="81">
        <f>P15/1000000</f>
        <v>4.0477099115865904E-4</v>
      </c>
      <c r="X15" s="77">
        <f t="shared" si="9"/>
        <v>8363.0370074103084</v>
      </c>
      <c r="Y15" s="76">
        <f t="shared" si="10"/>
        <v>3.9223640185925772</v>
      </c>
      <c r="Z15" s="81">
        <f>S15/1000000</f>
        <v>3.9708945897349169E-4</v>
      </c>
      <c r="AA15" s="76">
        <f t="shared" si="11"/>
        <v>-3.4011116414438169</v>
      </c>
    </row>
    <row r="16" spans="1:27">
      <c r="A16" t="s">
        <v>31</v>
      </c>
      <c r="B16" s="77">
        <v>2665.1192712442999</v>
      </c>
      <c r="C16" s="77">
        <v>930.717454888009</v>
      </c>
      <c r="D16" s="77">
        <v>1828.5091179299111</v>
      </c>
      <c r="E16" s="77">
        <v>9746.8123817342712</v>
      </c>
      <c r="F16" s="77">
        <v>6583.79008017247</v>
      </c>
      <c r="G16" s="77">
        <v>7766.1333000000004</v>
      </c>
      <c r="H16" s="77">
        <v>8642.4290000000001</v>
      </c>
      <c r="I16" s="77">
        <v>4016.828</v>
      </c>
      <c r="J16" s="77">
        <v>354.86400000000003</v>
      </c>
      <c r="K16" s="77">
        <v>29665.754858857141</v>
      </c>
      <c r="M16" s="76">
        <f t="shared" si="0"/>
        <v>115.9261616562258</v>
      </c>
      <c r="N16" s="76">
        <f t="shared" si="1"/>
        <v>23.298224063482753</v>
      </c>
      <c r="O16" s="76">
        <f t="shared" si="2"/>
        <v>45.6214849782912</v>
      </c>
      <c r="P16" s="76">
        <f t="shared" si="3"/>
        <v>400.85594825146086</v>
      </c>
      <c r="Q16" s="76">
        <f t="shared" si="4"/>
        <v>118.44544535706521</v>
      </c>
      <c r="R16" s="76">
        <f t="shared" si="5"/>
        <v>287.8477872498147</v>
      </c>
      <c r="S16" s="76">
        <f t="shared" si="6"/>
        <v>307.71853803564119</v>
      </c>
      <c r="T16" s="76">
        <f t="shared" si="7"/>
        <v>1056.2658617029124</v>
      </c>
      <c r="U16" s="80">
        <v>3.82</v>
      </c>
      <c r="V16" s="86">
        <f>1.5*10^-4</f>
        <v>1.5000000000000001E-4</v>
      </c>
      <c r="W16" s="81">
        <f>P16/1000000</f>
        <v>4.0085594825146084E-4</v>
      </c>
      <c r="X16" s="77">
        <f t="shared" si="9"/>
        <v>17815.819922287144</v>
      </c>
      <c r="Y16" s="76">
        <f t="shared" si="10"/>
        <v>4.2508058143115539</v>
      </c>
      <c r="Z16" s="81">
        <f>S16/1000000</f>
        <v>3.0771853803564117E-4</v>
      </c>
      <c r="AA16" s="76">
        <f t="shared" si="11"/>
        <v>-3.5118463395534181</v>
      </c>
    </row>
    <row r="17" spans="1:27">
      <c r="A17" t="s">
        <v>32</v>
      </c>
      <c r="B17" s="77">
        <v>6827.6856538257362</v>
      </c>
      <c r="C17" s="77">
        <v>2597.5003344166689</v>
      </c>
      <c r="D17" s="77">
        <v>1665.2107178967181</v>
      </c>
      <c r="E17" s="77">
        <v>11058.402623259371</v>
      </c>
      <c r="F17" s="77">
        <v>12735.443505131485</v>
      </c>
      <c r="G17" s="77">
        <v>17905.662</v>
      </c>
      <c r="H17" s="77">
        <v>14461.548000000001</v>
      </c>
      <c r="I17" s="77">
        <v>3922.9429499999997</v>
      </c>
      <c r="J17" s="77">
        <v>433.90240000000006</v>
      </c>
      <c r="K17" s="77">
        <v>49640.296477714284</v>
      </c>
      <c r="M17" s="76">
        <f t="shared" si="0"/>
        <v>296.98760553922767</v>
      </c>
      <c r="N17" s="76">
        <f t="shared" si="1"/>
        <v>65.022037008527803</v>
      </c>
      <c r="O17" s="76">
        <f t="shared" si="2"/>
        <v>41.547173600217519</v>
      </c>
      <c r="P17" s="76">
        <f t="shared" si="3"/>
        <v>454.7975580201263</v>
      </c>
      <c r="Q17" s="76">
        <f t="shared" si="4"/>
        <v>229.11655132016705</v>
      </c>
      <c r="R17" s="76">
        <f t="shared" si="5"/>
        <v>663.66426982950338</v>
      </c>
      <c r="S17" s="76">
        <f t="shared" si="6"/>
        <v>514.91153798223286</v>
      </c>
      <c r="T17" s="76">
        <f t="shared" si="7"/>
        <v>1767.4706335195842</v>
      </c>
      <c r="U17" s="80">
        <v>3.57</v>
      </c>
      <c r="V17" s="86">
        <f>2.7*10^-4</f>
        <v>2.7000000000000006E-4</v>
      </c>
      <c r="W17" s="81">
        <f>P17/1000000</f>
        <v>4.5479755802012631E-4</v>
      </c>
      <c r="X17" s="77">
        <f t="shared" si="9"/>
        <v>6238.6496299057071</v>
      </c>
      <c r="Y17" s="76">
        <f t="shared" si="10"/>
        <v>3.7950905958128689</v>
      </c>
      <c r="Z17" s="81">
        <f>S17/1000000</f>
        <v>5.1491153798223282E-4</v>
      </c>
      <c r="AA17" s="76">
        <f t="shared" si="11"/>
        <v>-3.2882673765241455</v>
      </c>
    </row>
    <row r="18" spans="1:27" s="75" customFormat="1">
      <c r="A18" s="75" t="s">
        <v>96</v>
      </c>
      <c r="B18" s="78">
        <f>SUM(B12:B17)</f>
        <v>12082.43367340503</v>
      </c>
      <c r="C18" s="78">
        <f t="shared" ref="C18" si="12">SUM(C12:C17)</f>
        <v>5025.4061227912571</v>
      </c>
      <c r="D18" s="78">
        <f t="shared" ref="D18" si="13">SUM(D12:D17)</f>
        <v>12444.904208363971</v>
      </c>
      <c r="E18" s="78">
        <f t="shared" ref="E18" si="14">SUM(E12:E17)</f>
        <v>69238.915175819915</v>
      </c>
      <c r="F18" s="78">
        <f t="shared" ref="F18" si="15">SUM(F12:F17)</f>
        <v>66426.581824878158</v>
      </c>
      <c r="G18" s="78">
        <f t="shared" ref="G18" si="16">SUM(G12:G17)</f>
        <v>80684.926200000002</v>
      </c>
      <c r="H18" s="78">
        <f t="shared" ref="H18" si="17">SUM(H12:H17)</f>
        <v>91580.123999999996</v>
      </c>
      <c r="I18" s="78">
        <f t="shared" ref="I18" si="18">SUM(I12:I17)</f>
        <v>38501.083199999994</v>
      </c>
      <c r="J18" s="78">
        <f t="shared" ref="J18" si="19">SUM(J12:J17)</f>
        <v>2561.1648</v>
      </c>
      <c r="K18" s="78">
        <f t="shared" ref="K18" si="20">SUM(K12:K17)</f>
        <v>314355.31706742855</v>
      </c>
      <c r="M18" s="76">
        <f t="shared" si="0"/>
        <v>525.55627597478144</v>
      </c>
      <c r="N18" s="76">
        <f t="shared" si="1"/>
        <v>125.79869136856055</v>
      </c>
      <c r="O18" s="76">
        <f t="shared" si="2"/>
        <v>310.50160200508913</v>
      </c>
      <c r="P18" s="76">
        <f t="shared" si="3"/>
        <v>2847.5803074571218</v>
      </c>
      <c r="Q18" s="76">
        <f t="shared" si="4"/>
        <v>1195.0450989453657</v>
      </c>
      <c r="R18" s="76">
        <f t="shared" si="5"/>
        <v>2990.5458191252778</v>
      </c>
      <c r="S18" s="76">
        <f t="shared" si="6"/>
        <v>3260.7617453846292</v>
      </c>
      <c r="T18" s="76">
        <f t="shared" si="7"/>
        <v>11192.797602585981</v>
      </c>
      <c r="U18" s="82"/>
      <c r="V18" s="86"/>
      <c r="W18" s="81"/>
      <c r="X18" s="76"/>
      <c r="Y18" s="76"/>
      <c r="Z18" s="81"/>
      <c r="AA18" s="76"/>
    </row>
    <row r="19" spans="1:27">
      <c r="A19" t="s">
        <v>33</v>
      </c>
      <c r="B19" s="77">
        <v>241.47968170256073</v>
      </c>
      <c r="C19" s="77">
        <v>195.79754586786953</v>
      </c>
      <c r="D19" s="77">
        <v>2483.4853239995236</v>
      </c>
      <c r="E19" s="77">
        <v>7304.1853652948566</v>
      </c>
      <c r="F19" s="77">
        <v>871.18265046715851</v>
      </c>
      <c r="G19" s="77">
        <v>7141.2575223369995</v>
      </c>
      <c r="H19" s="77">
        <v>5890.3872243525084</v>
      </c>
      <c r="I19" s="77">
        <v>-0.82707237230767094</v>
      </c>
      <c r="J19" s="77">
        <v>231.84237169752078</v>
      </c>
      <c r="K19" s="77">
        <v>20219.174889534577</v>
      </c>
      <c r="M19" s="76">
        <f t="shared" si="0"/>
        <v>10.503774791540629</v>
      </c>
      <c r="N19" s="76">
        <f t="shared" si="1"/>
        <v>4.9013103501519355</v>
      </c>
      <c r="O19" s="76">
        <f t="shared" si="2"/>
        <v>61.963206686614861</v>
      </c>
      <c r="P19" s="76">
        <f t="shared" si="3"/>
        <v>300.39832882150347</v>
      </c>
      <c r="Q19" s="76">
        <f t="shared" si="4"/>
        <v>15.672981028463767</v>
      </c>
      <c r="R19" s="76">
        <f t="shared" si="5"/>
        <v>264.6870838523721</v>
      </c>
      <c r="S19" s="76">
        <f t="shared" si="6"/>
        <v>209.73054509809361</v>
      </c>
      <c r="T19" s="76">
        <f t="shared" si="7"/>
        <v>719.91507680242751</v>
      </c>
      <c r="U19" s="80">
        <v>3.58</v>
      </c>
      <c r="V19" s="86">
        <f>2.6*10^-4</f>
        <v>2.6000000000000003E-4</v>
      </c>
      <c r="W19" s="81">
        <f>P19/1000000</f>
        <v>3.0039832882150345E-4</v>
      </c>
      <c r="X19" s="77">
        <f t="shared" si="9"/>
        <v>4443.7622606731275</v>
      </c>
      <c r="Y19" s="76">
        <f t="shared" si="10"/>
        <v>3.6477508163265195</v>
      </c>
      <c r="Z19" s="81">
        <f>S19/1000000</f>
        <v>2.097305450980936E-4</v>
      </c>
      <c r="AA19" s="76">
        <f>LOG(Z19)</f>
        <v>-3.6783383144010959</v>
      </c>
    </row>
    <row r="20" spans="1:27">
      <c r="A20" t="s">
        <v>34</v>
      </c>
      <c r="B20" s="77">
        <v>1154.9118437282348</v>
      </c>
      <c r="C20" s="77">
        <v>1059.7339320935055</v>
      </c>
      <c r="D20" s="77">
        <v>1927.8624907208577</v>
      </c>
      <c r="E20" s="77">
        <v>24624.554571270688</v>
      </c>
      <c r="F20" s="77">
        <v>28688.685966065226</v>
      </c>
      <c r="G20" s="77">
        <v>17950.794996606775</v>
      </c>
      <c r="H20" s="77">
        <v>20853.613821910516</v>
      </c>
      <c r="I20" s="77">
        <v>6850.4875556883817</v>
      </c>
      <c r="J20" s="77">
        <v>1136.9868061028983</v>
      </c>
      <c r="K20" s="77">
        <v>71581.518987552263</v>
      </c>
      <c r="M20" s="76">
        <f t="shared" si="0"/>
        <v>50.235836924559365</v>
      </c>
      <c r="N20" s="76">
        <f t="shared" si="1"/>
        <v>26.52783448717096</v>
      </c>
      <c r="O20" s="76">
        <f t="shared" si="2"/>
        <v>48.10036154493158</v>
      </c>
      <c r="P20" s="76">
        <f t="shared" si="3"/>
        <v>1012.7310125959567</v>
      </c>
      <c r="Q20" s="76">
        <f t="shared" si="4"/>
        <v>516.12280230395299</v>
      </c>
      <c r="R20" s="76">
        <f t="shared" si="5"/>
        <v>665.33710143094049</v>
      </c>
      <c r="S20" s="76">
        <f t="shared" si="6"/>
        <v>742.50463128342085</v>
      </c>
      <c r="T20" s="76">
        <f t="shared" si="7"/>
        <v>2548.7001829254336</v>
      </c>
      <c r="U20" s="80">
        <v>3.61</v>
      </c>
      <c r="V20" s="86">
        <f>2.45*10^-4</f>
        <v>2.4500000000000005E-4</v>
      </c>
      <c r="W20" s="81">
        <f>P20/1000000</f>
        <v>1.0127310125959566E-3</v>
      </c>
      <c r="X20" s="77">
        <f t="shared" si="9"/>
        <v>16871.82028481393</v>
      </c>
      <c r="Y20" s="76">
        <f t="shared" si="10"/>
        <v>4.2271619407398875</v>
      </c>
      <c r="Z20" s="81">
        <f>S20/1000000</f>
        <v>7.4250463128342089E-4</v>
      </c>
      <c r="AA20" s="76">
        <f t="shared" si="11"/>
        <v>-3.1293008331426542</v>
      </c>
    </row>
    <row r="21" spans="1:27">
      <c r="A21" t="s">
        <v>35</v>
      </c>
      <c r="B21" s="77">
        <v>1215.1736933167224</v>
      </c>
      <c r="C21" s="77">
        <v>1021.86267705087</v>
      </c>
      <c r="D21" s="77">
        <v>1968.2972861489993</v>
      </c>
      <c r="E21" s="77">
        <v>18151.75232288177</v>
      </c>
      <c r="F21" s="77">
        <v>20513.50490592514</v>
      </c>
      <c r="G21" s="77">
        <v>13045.911179771059</v>
      </c>
      <c r="H21" s="77">
        <v>17073.80134649502</v>
      </c>
      <c r="I21" s="77">
        <v>6001.1259304564192</v>
      </c>
      <c r="J21" s="77">
        <v>866.61444215895483</v>
      </c>
      <c r="K21" s="77">
        <v>58607.042679083184</v>
      </c>
      <c r="M21" s="76">
        <f t="shared" si="0"/>
        <v>52.857079805684364</v>
      </c>
      <c r="N21" s="76">
        <f t="shared" si="1"/>
        <v>25.579820693172877</v>
      </c>
      <c r="O21" s="76">
        <f t="shared" si="2"/>
        <v>49.109213726272444</v>
      </c>
      <c r="P21" s="76">
        <f t="shared" si="3"/>
        <v>746.52487447591068</v>
      </c>
      <c r="Q21" s="76">
        <f t="shared" si="4"/>
        <v>369.04749313529078</v>
      </c>
      <c r="R21" s="76">
        <f t="shared" si="5"/>
        <v>483.54007337920899</v>
      </c>
      <c r="S21" s="76">
        <f t="shared" si="6"/>
        <v>607.92228539620157</v>
      </c>
      <c r="T21" s="76">
        <f t="shared" si="7"/>
        <v>2086.7366676428474</v>
      </c>
      <c r="U21" s="80">
        <v>3.74</v>
      </c>
      <c r="V21" s="86">
        <f>1.8*10^-4</f>
        <v>1.8000000000000001E-4</v>
      </c>
      <c r="W21" s="81">
        <f>P21/1000000</f>
        <v>7.4652487447591067E-4</v>
      </c>
      <c r="X21" s="77">
        <f t="shared" si="9"/>
        <v>23040.891187528105</v>
      </c>
      <c r="Y21" s="76">
        <f t="shared" si="10"/>
        <v>4.3624992729430438</v>
      </c>
      <c r="Z21" s="81">
        <f>S21/1000000</f>
        <v>6.0792228539620157E-4</v>
      </c>
      <c r="AA21" s="76">
        <f t="shared" si="11"/>
        <v>-3.2161519358272748</v>
      </c>
    </row>
    <row r="22" spans="1:27">
      <c r="A22" t="s">
        <v>36</v>
      </c>
      <c r="B22" s="77">
        <v>2049.7393445956914</v>
      </c>
      <c r="C22" s="77">
        <v>1565.012844493174</v>
      </c>
      <c r="D22" s="77">
        <v>1612.4582589876707</v>
      </c>
      <c r="E22" s="77">
        <v>17786.699713939634</v>
      </c>
      <c r="F22" s="77">
        <v>19674.772815697463</v>
      </c>
      <c r="G22" s="77">
        <v>11843.367947966224</v>
      </c>
      <c r="H22" s="77">
        <v>16068.167648262963</v>
      </c>
      <c r="I22" s="77">
        <v>5463.872053989061</v>
      </c>
      <c r="J22" s="77">
        <v>788.17275098201299</v>
      </c>
      <c r="K22" s="77">
        <v>55155.133178923206</v>
      </c>
      <c r="M22" s="76">
        <f t="shared" si="0"/>
        <v>89.158641858375958</v>
      </c>
      <c r="N22" s="76">
        <f t="shared" si="1"/>
        <v>39.176250237638278</v>
      </c>
      <c r="O22" s="76">
        <f t="shared" si="2"/>
        <v>40.230994485720331</v>
      </c>
      <c r="P22" s="76">
        <f t="shared" si="3"/>
        <v>731.51140094343543</v>
      </c>
      <c r="Q22" s="76">
        <f t="shared" si="4"/>
        <v>353.95831277678263</v>
      </c>
      <c r="R22" s="76">
        <f t="shared" si="5"/>
        <v>438.96841912402607</v>
      </c>
      <c r="S22" s="76">
        <f t="shared" si="6"/>
        <v>572.11613281810764</v>
      </c>
      <c r="T22" s="76">
        <f t="shared" si="7"/>
        <v>1963.8294913362129</v>
      </c>
      <c r="U22" s="80">
        <v>3.83</v>
      </c>
      <c r="V22" s="86">
        <f>1.47*10^-4</f>
        <v>1.47E-4</v>
      </c>
      <c r="W22" s="81">
        <f>P22/1000000</f>
        <v>7.3151140094343547E-4</v>
      </c>
      <c r="X22" s="77">
        <f t="shared" si="9"/>
        <v>33852.16349407356</v>
      </c>
      <c r="Y22" s="76">
        <f t="shared" si="10"/>
        <v>4.5295864296980435</v>
      </c>
      <c r="Z22" s="81">
        <f>S22/1000000</f>
        <v>5.7211613281810765E-4</v>
      </c>
      <c r="AA22" s="76">
        <f t="shared" si="11"/>
        <v>-3.2425158056077006</v>
      </c>
    </row>
    <row r="23" spans="1:27">
      <c r="A23" t="s">
        <v>37</v>
      </c>
      <c r="B23" s="77">
        <v>4427.2618998780545</v>
      </c>
      <c r="C23" s="77">
        <v>2791.6555306610094</v>
      </c>
      <c r="D23" s="77">
        <v>5406.1471140351223</v>
      </c>
      <c r="E23" s="77">
        <v>24035.934699610578</v>
      </c>
      <c r="F23" s="77">
        <v>26674.869690938645</v>
      </c>
      <c r="G23" s="77">
        <v>85124.928334042357</v>
      </c>
      <c r="H23" s="77">
        <v>50796.20749723717</v>
      </c>
      <c r="I23" s="77">
        <v>6444.9406106435181</v>
      </c>
      <c r="J23" s="77">
        <v>957.07658099284231</v>
      </c>
      <c r="K23" s="77">
        <v>174361.61053480208</v>
      </c>
      <c r="M23" s="76">
        <f t="shared" si="0"/>
        <v>192.57505066934269</v>
      </c>
      <c r="N23" s="76">
        <f t="shared" si="1"/>
        <v>69.882235172249153</v>
      </c>
      <c r="O23" s="76">
        <f t="shared" si="2"/>
        <v>134.88391003081642</v>
      </c>
      <c r="P23" s="76">
        <f t="shared" si="3"/>
        <v>988.52291587952197</v>
      </c>
      <c r="Q23" s="76">
        <f t="shared" si="4"/>
        <v>479.89331098207509</v>
      </c>
      <c r="R23" s="76">
        <f t="shared" si="5"/>
        <v>3155.1122436635419</v>
      </c>
      <c r="S23" s="76">
        <f t="shared" si="6"/>
        <v>1808.6274945162868</v>
      </c>
      <c r="T23" s="76">
        <f t="shared" si="7"/>
        <v>6208.2430626053338</v>
      </c>
      <c r="U23" s="83">
        <v>3.8</v>
      </c>
      <c r="V23" s="86">
        <f>1.6*10^-4</f>
        <v>1.6000000000000001E-4</v>
      </c>
      <c r="W23" s="81">
        <f>P23/1000000</f>
        <v>9.8852291587952189E-4</v>
      </c>
      <c r="X23" s="77">
        <f t="shared" si="9"/>
        <v>38614.176401543817</v>
      </c>
      <c r="Y23" s="76">
        <f t="shared" si="10"/>
        <v>4.5867467762434231</v>
      </c>
      <c r="Z23" s="81">
        <f>S23/1000000</f>
        <v>1.8086274945162868E-3</v>
      </c>
      <c r="AA23" s="76">
        <f t="shared" si="11"/>
        <v>-2.7426508713572897</v>
      </c>
    </row>
    <row r="24" spans="1:27">
      <c r="A24" t="s">
        <v>38</v>
      </c>
      <c r="B24" s="77">
        <v>12633.765821203142</v>
      </c>
      <c r="C24" s="77">
        <v>8212.8158563690649</v>
      </c>
      <c r="D24" s="77">
        <v>3315.3638961166826</v>
      </c>
      <c r="E24" s="77">
        <v>44058.959100592365</v>
      </c>
      <c r="F24" s="77">
        <v>53023.66582925032</v>
      </c>
      <c r="G24" s="77">
        <v>74265.182976724318</v>
      </c>
      <c r="H24" s="77">
        <v>60803.303220938105</v>
      </c>
      <c r="I24" s="77">
        <v>15943.392456265943</v>
      </c>
      <c r="J24" s="77">
        <v>1972.5781285043288</v>
      </c>
      <c r="K24" s="77">
        <v>208711.68139895724</v>
      </c>
      <c r="M24" s="76">
        <f t="shared" si="0"/>
        <v>549.537874240017</v>
      </c>
      <c r="N24" s="76">
        <f t="shared" si="1"/>
        <v>205.58766036770464</v>
      </c>
      <c r="O24" s="76">
        <f t="shared" si="2"/>
        <v>82.718660082751569</v>
      </c>
      <c r="P24" s="76">
        <f t="shared" si="3"/>
        <v>1812.0073658479278</v>
      </c>
      <c r="Q24" s="76">
        <f t="shared" si="4"/>
        <v>953.92040711073707</v>
      </c>
      <c r="R24" s="76">
        <f t="shared" si="5"/>
        <v>2752.6012963945263</v>
      </c>
      <c r="S24" s="76">
        <f t="shared" si="6"/>
        <v>2164.9357576307384</v>
      </c>
      <c r="T24" s="76">
        <f t="shared" si="7"/>
        <v>7431.2966263359112</v>
      </c>
      <c r="U24" s="80">
        <v>3.59</v>
      </c>
      <c r="V24" s="86">
        <f>2.6*10^-4</f>
        <v>2.6000000000000003E-4</v>
      </c>
      <c r="W24" s="81">
        <f>P24/1000000</f>
        <v>1.8120073658479277E-3</v>
      </c>
      <c r="X24" s="77">
        <f>W24/(V24*V24)</f>
        <v>26804.8426900581</v>
      </c>
      <c r="Y24" s="76">
        <f t="shared" si="10"/>
        <v>4.4282132628189199</v>
      </c>
      <c r="Z24" s="81">
        <f>S24/1000000</f>
        <v>2.1649357576307383E-3</v>
      </c>
      <c r="AA24" s="76">
        <f t="shared" si="11"/>
        <v>-2.6645549863870244</v>
      </c>
    </row>
    <row r="25" spans="1:27" s="75" customFormat="1">
      <c r="A25" s="75" t="s">
        <v>97</v>
      </c>
      <c r="B25" s="78">
        <f>SUM(B19:B24)</f>
        <v>21722.332284424407</v>
      </c>
      <c r="C25" s="78">
        <f t="shared" ref="C25" si="21">SUM(C19:C24)</f>
        <v>14846.878386535493</v>
      </c>
      <c r="D25" s="78">
        <f t="shared" ref="D25" si="22">SUM(D19:D24)</f>
        <v>16713.614370008858</v>
      </c>
      <c r="E25" s="78">
        <f t="shared" ref="E25" si="23">SUM(E19:E24)</f>
        <v>135962.08577358988</v>
      </c>
      <c r="F25" s="78">
        <f t="shared" ref="F25" si="24">SUM(F19:F24)</f>
        <v>149446.68185834395</v>
      </c>
      <c r="G25" s="78">
        <f t="shared" ref="G25" si="25">SUM(G19:G24)</f>
        <v>209371.44295744773</v>
      </c>
      <c r="H25" s="78">
        <f t="shared" ref="H25" si="26">SUM(H19:H24)</f>
        <v>171485.48075919627</v>
      </c>
      <c r="I25" s="78">
        <f t="shared" ref="I25" si="27">SUM(I19:I24)</f>
        <v>40702.991534671019</v>
      </c>
      <c r="J25" s="78">
        <f t="shared" ref="J25" si="28">SUM(J19:J24)</f>
        <v>5953.2710804385579</v>
      </c>
      <c r="K25" s="78">
        <f t="shared" ref="K25" si="29">SUM(K19:K24)</f>
        <v>588636.16166885255</v>
      </c>
      <c r="M25" s="76">
        <f t="shared" si="0"/>
        <v>944.86825828951999</v>
      </c>
      <c r="N25" s="76">
        <f t="shared" si="1"/>
        <v>371.65511130808784</v>
      </c>
      <c r="O25" s="76">
        <f t="shared" si="2"/>
        <v>417.00634655710724</v>
      </c>
      <c r="P25" s="76">
        <f t="shared" si="3"/>
        <v>5591.695898564255</v>
      </c>
      <c r="Q25" s="76">
        <f t="shared" si="4"/>
        <v>2688.6153073373021</v>
      </c>
      <c r="R25" s="76">
        <f t="shared" si="5"/>
        <v>7760.2462178446158</v>
      </c>
      <c r="S25" s="76">
        <f t="shared" si="6"/>
        <v>6105.836846742849</v>
      </c>
      <c r="T25" s="76">
        <f t="shared" si="7"/>
        <v>20958.721107648165</v>
      </c>
      <c r="U25" s="82"/>
      <c r="V25" s="86"/>
      <c r="W25" s="81"/>
      <c r="X25" s="77"/>
      <c r="Y25" s="76"/>
      <c r="Z25" s="81"/>
      <c r="AA25" s="76"/>
    </row>
    <row r="26" spans="1:27">
      <c r="A26" t="s">
        <v>39</v>
      </c>
      <c r="B26" s="77">
        <v>346.1641568943009</v>
      </c>
      <c r="C26" s="77">
        <v>326.35530860392072</v>
      </c>
      <c r="D26" s="77">
        <v>2496.6761000000001</v>
      </c>
      <c r="E26" s="77">
        <v>7163.5171034094865</v>
      </c>
      <c r="F26" s="77">
        <v>2118.4496535735921</v>
      </c>
      <c r="G26" s="77">
        <v>7158.0974501219789</v>
      </c>
      <c r="H26" s="77">
        <v>5742.7060001163773</v>
      </c>
      <c r="I26" s="77">
        <v>1.2855601026974661</v>
      </c>
      <c r="J26" s="77">
        <v>194.50977246506417</v>
      </c>
      <c r="K26" s="77">
        <v>19712.248538685184</v>
      </c>
      <c r="M26" s="76">
        <f t="shared" si="0"/>
        <v>15.057293099300599</v>
      </c>
      <c r="N26" s="76">
        <f t="shared" si="1"/>
        <v>8.1695030690878312</v>
      </c>
      <c r="O26" s="76">
        <f t="shared" si="2"/>
        <v>62.29231786427146</v>
      </c>
      <c r="P26" s="76">
        <f t="shared" si="3"/>
        <v>294.61308259960873</v>
      </c>
      <c r="Q26" s="76">
        <f t="shared" si="4"/>
        <v>38.111894460260721</v>
      </c>
      <c r="R26" s="76">
        <f t="shared" si="5"/>
        <v>265.31124722468417</v>
      </c>
      <c r="S26" s="76">
        <f t="shared" si="6"/>
        <v>204.47227217305647</v>
      </c>
      <c r="T26" s="76">
        <f t="shared" si="7"/>
        <v>701.86567939631436</v>
      </c>
      <c r="U26" s="80">
        <v>3.74</v>
      </c>
      <c r="V26" s="86">
        <f>1.8*10^-4</f>
        <v>1.8000000000000001E-4</v>
      </c>
      <c r="W26" s="81">
        <f>P26/1000000</f>
        <v>2.9461308259960873E-4</v>
      </c>
      <c r="X26" s="77">
        <f t="shared" si="9"/>
        <v>9092.9963765311313</v>
      </c>
      <c r="Y26" s="76">
        <f t="shared" si="10"/>
        <v>3.9587070180252755</v>
      </c>
      <c r="Z26" s="81">
        <f>S26/1000000</f>
        <v>2.0447227217305648E-4</v>
      </c>
      <c r="AA26" s="76">
        <f t="shared" si="11"/>
        <v>-3.6893655769411926</v>
      </c>
    </row>
    <row r="27" spans="1:27">
      <c r="A27" t="s">
        <v>40</v>
      </c>
      <c r="B27" s="77">
        <v>1393.0691833617391</v>
      </c>
      <c r="C27" s="77">
        <v>1544.3078671264261</v>
      </c>
      <c r="D27" s="77">
        <v>5925.0796999999993</v>
      </c>
      <c r="E27" s="77">
        <v>22449.429366639535</v>
      </c>
      <c r="F27" s="77">
        <v>37205.819516847121</v>
      </c>
      <c r="G27" s="77">
        <v>24614.665140527348</v>
      </c>
      <c r="H27" s="77">
        <v>25121.384119847651</v>
      </c>
      <c r="I27" s="77">
        <v>2387.0162113180859</v>
      </c>
      <c r="J27" s="77">
        <v>878.2597639316507</v>
      </c>
      <c r="K27" s="77">
        <v>86230.945375957046</v>
      </c>
      <c r="M27" s="76">
        <f t="shared" si="0"/>
        <v>60.595097972219818</v>
      </c>
      <c r="N27" s="76">
        <f t="shared" si="1"/>
        <v>38.65795201578117</v>
      </c>
      <c r="O27" s="76">
        <f t="shared" si="2"/>
        <v>147.83132984031934</v>
      </c>
      <c r="P27" s="76">
        <f t="shared" si="3"/>
        <v>923.27490712068823</v>
      </c>
      <c r="Q27" s="76">
        <f t="shared" si="4"/>
        <v>669.34999580547128</v>
      </c>
      <c r="R27" s="76">
        <f t="shared" si="5"/>
        <v>912.33006451176232</v>
      </c>
      <c r="S27" s="76">
        <f t="shared" si="6"/>
        <v>894.46098947313214</v>
      </c>
      <c r="T27" s="76">
        <f t="shared" si="7"/>
        <v>3070.301236437203</v>
      </c>
      <c r="U27" s="80">
        <v>3.62</v>
      </c>
      <c r="V27" s="86">
        <f>2.4*10^-4</f>
        <v>2.4000000000000001E-4</v>
      </c>
      <c r="W27" s="81">
        <f>P27/1000000</f>
        <v>9.2327490712068821E-4</v>
      </c>
      <c r="X27" s="77">
        <f t="shared" si="9"/>
        <v>16029.07824862306</v>
      </c>
      <c r="Y27" s="76">
        <f t="shared" si="10"/>
        <v>4.2049085489888034</v>
      </c>
      <c r="Z27" s="81">
        <f>S27/1000000</f>
        <v>8.9446098947313214E-4</v>
      </c>
      <c r="AA27" s="76">
        <f t="shared" si="11"/>
        <v>-3.0484385957629025</v>
      </c>
    </row>
    <row r="28" spans="1:27">
      <c r="A28" t="s">
        <v>41</v>
      </c>
      <c r="B28" s="77">
        <v>3148.0996222659237</v>
      </c>
      <c r="C28" s="77">
        <v>3000.5355383817173</v>
      </c>
      <c r="D28" s="77">
        <v>2136.4265500000001</v>
      </c>
      <c r="E28" s="77">
        <v>23498.799447840978</v>
      </c>
      <c r="F28" s="77">
        <v>28050.768494428194</v>
      </c>
      <c r="G28" s="77">
        <v>21416.739824523971</v>
      </c>
      <c r="H28" s="77">
        <v>21457.839866770475</v>
      </c>
      <c r="I28" s="77">
        <v>4324.4924984436993</v>
      </c>
      <c r="J28" s="77">
        <v>937.25807772915618</v>
      </c>
      <c r="K28" s="77">
        <v>73655.568045537279</v>
      </c>
      <c r="M28" s="76">
        <f t="shared" si="0"/>
        <v>136.93462414922809</v>
      </c>
      <c r="N28" s="76">
        <f t="shared" si="1"/>
        <v>75.111032802185775</v>
      </c>
      <c r="O28" s="76">
        <f t="shared" si="2"/>
        <v>53.304055638722559</v>
      </c>
      <c r="P28" s="76">
        <f t="shared" si="3"/>
        <v>966.43222076253244</v>
      </c>
      <c r="Q28" s="76">
        <f t="shared" si="4"/>
        <v>504.64637032343603</v>
      </c>
      <c r="R28" s="76">
        <f t="shared" si="5"/>
        <v>793.8005865279456</v>
      </c>
      <c r="S28" s="76">
        <f t="shared" si="6"/>
        <v>764.01843893719092</v>
      </c>
      <c r="T28" s="76">
        <f t="shared" si="7"/>
        <v>2622.5478643975462</v>
      </c>
      <c r="U28" s="80">
        <v>3.59</v>
      </c>
      <c r="V28" s="86">
        <f>2.6*10^-4</f>
        <v>2.6000000000000003E-4</v>
      </c>
      <c r="W28" s="81">
        <f>P28/1000000</f>
        <v>9.6643222076253242E-4</v>
      </c>
      <c r="X28" s="77">
        <f t="shared" si="9"/>
        <v>14296.334626664679</v>
      </c>
      <c r="Y28" s="76">
        <f t="shared" si="10"/>
        <v>4.1552247049154083</v>
      </c>
      <c r="Z28" s="81">
        <f>S28/1000000</f>
        <v>7.6401843893719094E-4</v>
      </c>
      <c r="AA28" s="76">
        <f t="shared" si="11"/>
        <v>-3.1168961599687588</v>
      </c>
    </row>
    <row r="29" spans="1:27">
      <c r="A29" t="s">
        <v>42</v>
      </c>
      <c r="B29" s="77">
        <v>3075.486752206044</v>
      </c>
      <c r="C29" s="77">
        <v>2141.8997763026009</v>
      </c>
      <c r="D29" s="77">
        <v>1813.6365000000001</v>
      </c>
      <c r="E29" s="77">
        <v>20327.530127045247</v>
      </c>
      <c r="F29" s="77">
        <v>21695.094602070651</v>
      </c>
      <c r="G29" s="77">
        <v>21714.529150460537</v>
      </c>
      <c r="H29" s="77">
        <v>21043.629208261002</v>
      </c>
      <c r="I29" s="77">
        <v>2322.958298493058</v>
      </c>
      <c r="J29" s="77">
        <v>588.77821999822493</v>
      </c>
      <c r="K29" s="77">
        <v>72233.760373727899</v>
      </c>
      <c r="M29" s="76">
        <f t="shared" si="0"/>
        <v>133.77614212416134</v>
      </c>
      <c r="N29" s="76">
        <f t="shared" si="1"/>
        <v>53.617196763357384</v>
      </c>
      <c r="O29" s="76">
        <f t="shared" si="2"/>
        <v>45.250411676646713</v>
      </c>
      <c r="P29" s="76">
        <f t="shared" si="3"/>
        <v>836.00781933149278</v>
      </c>
      <c r="Q29" s="76">
        <f t="shared" si="4"/>
        <v>390.30484127139789</v>
      </c>
      <c r="R29" s="76">
        <f t="shared" si="5"/>
        <v>804.83799668126528</v>
      </c>
      <c r="S29" s="76">
        <f t="shared" si="6"/>
        <v>749.27023582492757</v>
      </c>
      <c r="T29" s="76">
        <f t="shared" si="7"/>
        <v>2571.9236037716228</v>
      </c>
      <c r="U29" s="80">
        <v>3.64</v>
      </c>
      <c r="V29" s="86">
        <f>2.3*10^-4</f>
        <v>2.2999999999999998E-4</v>
      </c>
      <c r="W29" s="81">
        <f>P29/1000000</f>
        <v>8.3600781933149278E-4</v>
      </c>
      <c r="X29" s="77">
        <f t="shared" si="9"/>
        <v>15803.550459952607</v>
      </c>
      <c r="Y29" s="76">
        <f t="shared" si="10"/>
        <v>4.1987546674572256</v>
      </c>
      <c r="Z29" s="81">
        <f>S29/1000000</f>
        <v>7.4927023582492753E-4</v>
      </c>
      <c r="AA29" s="76">
        <f t="shared" si="11"/>
        <v>-3.1253615190684343</v>
      </c>
    </row>
    <row r="30" spans="1:27">
      <c r="A30" t="s">
        <v>43</v>
      </c>
      <c r="B30" s="77">
        <v>7564.3810708915162</v>
      </c>
      <c r="C30" s="77">
        <v>4583.0942606432036</v>
      </c>
      <c r="D30" s="77">
        <v>2232.6439999999998</v>
      </c>
      <c r="E30" s="77">
        <v>32571.132362824173</v>
      </c>
      <c r="F30" s="77">
        <v>35169.98127031797</v>
      </c>
      <c r="G30" s="77">
        <v>36223.017604158362</v>
      </c>
      <c r="H30" s="77">
        <v>34170.483413704642</v>
      </c>
      <c r="I30" s="77">
        <v>7058.4147091650493</v>
      </c>
      <c r="J30" s="77">
        <v>961.66278680802554</v>
      </c>
      <c r="K30" s="77">
        <v>117292.62506635643</v>
      </c>
      <c r="M30" s="76">
        <f t="shared" si="0"/>
        <v>329.0320520792489</v>
      </c>
      <c r="N30" s="76">
        <f t="shared" si="1"/>
        <v>114.72650096733763</v>
      </c>
      <c r="O30" s="76">
        <f t="shared" si="2"/>
        <v>55.70469061876247</v>
      </c>
      <c r="P30" s="76">
        <f t="shared" si="3"/>
        <v>1339.5489353413191</v>
      </c>
      <c r="Q30" s="76">
        <f t="shared" si="4"/>
        <v>632.72431897666581</v>
      </c>
      <c r="R30" s="76">
        <f t="shared" si="5"/>
        <v>1342.5877540458991</v>
      </c>
      <c r="S30" s="76">
        <f t="shared" si="6"/>
        <v>1216.6592517030012</v>
      </c>
      <c r="T30" s="76">
        <f t="shared" si="7"/>
        <v>4176.2697857028161</v>
      </c>
      <c r="U30" s="83">
        <v>3.9</v>
      </c>
      <c r="V30" s="86">
        <f>1.27*10^-4</f>
        <v>1.27E-4</v>
      </c>
      <c r="W30" s="81">
        <f>P30/1000000</f>
        <v>1.339548935341319E-3</v>
      </c>
      <c r="X30" s="77">
        <f t="shared" si="9"/>
        <v>83052.200095561973</v>
      </c>
      <c r="Y30" s="76">
        <f t="shared" si="10"/>
        <v>4.9193511416243361</v>
      </c>
      <c r="Z30" s="81">
        <f>S30/1000000</f>
        <v>1.2166592517030012E-3</v>
      </c>
      <c r="AA30" s="76">
        <f t="shared" si="11"/>
        <v>-2.9148310370749271</v>
      </c>
    </row>
    <row r="31" spans="1:27">
      <c r="A31" t="s">
        <v>44</v>
      </c>
      <c r="B31" s="77">
        <v>13571.04587057024</v>
      </c>
      <c r="C31" s="77">
        <v>9967.9697562404581</v>
      </c>
      <c r="D31" s="77">
        <v>9294.7491499999996</v>
      </c>
      <c r="E31" s="77">
        <v>93039.477044256535</v>
      </c>
      <c r="F31" s="77">
        <v>112451.36974946651</v>
      </c>
      <c r="G31" s="77">
        <v>71975.725194666302</v>
      </c>
      <c r="H31" s="77">
        <v>85590.940863561264</v>
      </c>
      <c r="I31" s="77">
        <v>19605.107430832079</v>
      </c>
      <c r="J31" s="77">
        <v>2626.2689185775821</v>
      </c>
      <c r="K31" s="77">
        <v>293797.01815280714</v>
      </c>
      <c r="M31" s="76">
        <f t="shared" si="0"/>
        <v>590.30726107100713</v>
      </c>
      <c r="N31" s="76">
        <f t="shared" si="1"/>
        <v>249.52362461801488</v>
      </c>
      <c r="O31" s="76">
        <f t="shared" si="2"/>
        <v>231.90491891217565</v>
      </c>
      <c r="P31" s="76">
        <f t="shared" si="3"/>
        <v>3826.4230739978011</v>
      </c>
      <c r="Q31" s="76">
        <f t="shared" si="4"/>
        <v>2023.052437698417</v>
      </c>
      <c r="R31" s="76">
        <f t="shared" si="5"/>
        <v>2667.743706251531</v>
      </c>
      <c r="S31" s="76">
        <f t="shared" si="6"/>
        <v>3047.5135163540353</v>
      </c>
      <c r="T31" s="76">
        <f t="shared" si="7"/>
        <v>10460.807824422109</v>
      </c>
      <c r="U31" s="80">
        <v>3.66</v>
      </c>
      <c r="V31" s="86">
        <f>2.2*10^-4</f>
        <v>2.2000000000000003E-4</v>
      </c>
      <c r="W31" s="81">
        <f>P31/1000000</f>
        <v>3.8264230739978012E-3</v>
      </c>
      <c r="X31" s="77">
        <f t="shared" si="9"/>
        <v>79058.327975161155</v>
      </c>
      <c r="Y31" s="76">
        <f t="shared" si="10"/>
        <v>4.8979476250987828</v>
      </c>
      <c r="Z31" s="81">
        <f>S31/1000000</f>
        <v>3.0475135163540354E-3</v>
      </c>
      <c r="AA31" s="76">
        <f t="shared" si="11"/>
        <v>-2.5160543595192753</v>
      </c>
    </row>
    <row r="32" spans="1:27" s="75" customFormat="1">
      <c r="A32" s="75" t="s">
        <v>98</v>
      </c>
      <c r="B32" s="78">
        <f>SUM(B26:B31)</f>
        <v>29098.246656189764</v>
      </c>
      <c r="C32" s="78">
        <f t="shared" ref="C32" si="30">SUM(C26:C31)</f>
        <v>21564.162507298326</v>
      </c>
      <c r="D32" s="78">
        <f t="shared" ref="D32" si="31">SUM(D26:D31)</f>
        <v>23899.212</v>
      </c>
      <c r="E32" s="78">
        <f t="shared" ref="E32" si="32">SUM(E26:E31)</f>
        <v>199049.88545201597</v>
      </c>
      <c r="F32" s="78">
        <f t="shared" ref="F32" si="33">SUM(F26:F31)</f>
        <v>236691.48328670402</v>
      </c>
      <c r="G32" s="78">
        <f t="shared" ref="G32" si="34">SUM(G26:G31)</f>
        <v>183102.77436445851</v>
      </c>
      <c r="H32" s="78">
        <f t="shared" ref="H32" si="35">SUM(H26:H31)</f>
        <v>193126.9834722614</v>
      </c>
      <c r="I32" s="78">
        <f t="shared" ref="I32" si="36">SUM(I26:I31)</f>
        <v>35699.274708354671</v>
      </c>
      <c r="J32" s="78">
        <f t="shared" ref="J32" si="37">SUM(J26:J31)</f>
        <v>6186.7375395097033</v>
      </c>
      <c r="K32" s="78">
        <f t="shared" ref="K32" si="38">SUM(K26:K31)</f>
        <v>662922.16555307107</v>
      </c>
      <c r="M32" s="76">
        <f t="shared" si="0"/>
        <v>1265.7024704951659</v>
      </c>
      <c r="N32" s="76">
        <f t="shared" si="1"/>
        <v>539.80581023576462</v>
      </c>
      <c r="O32" s="76">
        <f t="shared" si="2"/>
        <v>596.28772455089825</v>
      </c>
      <c r="P32" s="76">
        <f t="shared" si="3"/>
        <v>8186.3000391534424</v>
      </c>
      <c r="Q32" s="76">
        <f t="shared" si="4"/>
        <v>4258.1898585356485</v>
      </c>
      <c r="R32" s="76">
        <f t="shared" si="5"/>
        <v>6786.6113552430879</v>
      </c>
      <c r="S32" s="76">
        <f t="shared" si="6"/>
        <v>6876.3947044653432</v>
      </c>
      <c r="T32" s="76">
        <f t="shared" si="7"/>
        <v>23603.715994127611</v>
      </c>
      <c r="U32" s="82"/>
      <c r="V32" s="86"/>
      <c r="W32" s="81"/>
      <c r="X32" s="77"/>
      <c r="Y32" s="76"/>
      <c r="Z32" s="81"/>
      <c r="AA32" s="76"/>
    </row>
    <row r="33" spans="1:27">
      <c r="A33" t="s">
        <v>45</v>
      </c>
      <c r="B33" s="77">
        <v>906.8089602324236</v>
      </c>
      <c r="C33" s="77">
        <v>298.75654242733413</v>
      </c>
      <c r="D33" s="77">
        <v>4356.4437316127669</v>
      </c>
      <c r="E33" s="77">
        <v>7370.6199612098353</v>
      </c>
      <c r="F33" s="77">
        <v>1072.0644157283634</v>
      </c>
      <c r="G33" s="77">
        <v>12799.466799995324</v>
      </c>
      <c r="H33" s="77">
        <v>9203.0584605938147</v>
      </c>
      <c r="I33" s="77">
        <v>-6.7649703429565955</v>
      </c>
      <c r="J33" s="77">
        <v>239.9263367420935</v>
      </c>
      <c r="K33" s="77">
        <v>31590.155527306884</v>
      </c>
      <c r="M33" s="76">
        <f t="shared" si="0"/>
        <v>39.443969074651527</v>
      </c>
      <c r="N33" s="76">
        <f t="shared" si="1"/>
        <v>7.4786357872067217</v>
      </c>
      <c r="O33" s="76">
        <f t="shared" si="2"/>
        <v>108.69370587856206</v>
      </c>
      <c r="P33" s="76">
        <f t="shared" si="3"/>
        <v>303.13057623729532</v>
      </c>
      <c r="Q33" s="76">
        <f t="shared" si="4"/>
        <v>19.286937406285212</v>
      </c>
      <c r="R33" s="76">
        <f t="shared" si="5"/>
        <v>474.40573758322176</v>
      </c>
      <c r="S33" s="76">
        <f t="shared" si="6"/>
        <v>327.68006482326518</v>
      </c>
      <c r="T33" s="76">
        <f t="shared" si="7"/>
        <v>1124.7852282247736</v>
      </c>
      <c r="U33" s="80">
        <v>3.54</v>
      </c>
      <c r="V33" s="86">
        <f>2.9*10^-4</f>
        <v>2.9E-4</v>
      </c>
      <c r="W33" s="81">
        <f>P33/1000000</f>
        <v>3.0313057623729533E-4</v>
      </c>
      <c r="X33" s="77">
        <f t="shared" si="9"/>
        <v>3604.4063761866269</v>
      </c>
      <c r="Y33" s="76">
        <f t="shared" si="10"/>
        <v>3.5568337492843032</v>
      </c>
      <c r="Z33" s="81">
        <f>S33/1000000</f>
        <v>3.276800648232652E-4</v>
      </c>
      <c r="AA33" s="76">
        <f t="shared" si="11"/>
        <v>-3.4845499791260255</v>
      </c>
    </row>
    <row r="34" spans="1:27">
      <c r="A34" t="s">
        <v>46</v>
      </c>
      <c r="B34" s="77">
        <v>1933.0472887438723</v>
      </c>
      <c r="C34" s="77">
        <v>912.96117019922212</v>
      </c>
      <c r="D34" s="77">
        <v>2995.2313804550522</v>
      </c>
      <c r="E34" s="77">
        <v>20380.191992146931</v>
      </c>
      <c r="F34" s="77">
        <v>56179.634674049397</v>
      </c>
      <c r="G34" s="77">
        <v>19030.367916943767</v>
      </c>
      <c r="H34" s="77">
        <v>13505.172123516944</v>
      </c>
      <c r="I34" s="77">
        <v>1059.5639623507982</v>
      </c>
      <c r="J34" s="77">
        <v>750.23678797117111</v>
      </c>
      <c r="K34" s="77">
        <v>46357.467969123587</v>
      </c>
      <c r="M34" s="76">
        <f t="shared" si="0"/>
        <v>84.082823197412438</v>
      </c>
      <c r="N34" s="76">
        <f t="shared" si="1"/>
        <v>22.853739115831132</v>
      </c>
      <c r="O34" s="76">
        <f t="shared" si="2"/>
        <v>74.731321867641029</v>
      </c>
      <c r="P34" s="76">
        <f t="shared" si="3"/>
        <v>838.17363734924652</v>
      </c>
      <c r="Q34" s="76">
        <f t="shared" si="4"/>
        <v>1010.6977543230979</v>
      </c>
      <c r="R34" s="76">
        <f t="shared" si="5"/>
        <v>705.35092353386835</v>
      </c>
      <c r="S34" s="76">
        <f t="shared" si="6"/>
        <v>480.85923781014918</v>
      </c>
      <c r="T34" s="76">
        <f t="shared" si="7"/>
        <v>1650.583680871752</v>
      </c>
      <c r="U34" s="80">
        <v>3.62</v>
      </c>
      <c r="V34" s="86">
        <f>2.41*10^-4</f>
        <v>2.4100000000000003E-4</v>
      </c>
      <c r="W34" s="81">
        <f>P34/1000000</f>
        <v>8.3817363734924651E-4</v>
      </c>
      <c r="X34" s="77">
        <f t="shared" si="9"/>
        <v>14431.115809804347</v>
      </c>
      <c r="Y34" s="76">
        <f t="shared" si="10"/>
        <v>4.1592999119185956</v>
      </c>
      <c r="Z34" s="81">
        <f>S34/1000000</f>
        <v>4.8085923781014916E-4</v>
      </c>
      <c r="AA34" s="76">
        <f t="shared" si="11"/>
        <v>-3.3179820362853727</v>
      </c>
    </row>
    <row r="35" spans="1:27">
      <c r="A35" t="s">
        <v>47</v>
      </c>
      <c r="B35" s="77">
        <v>2777.0115753211394</v>
      </c>
      <c r="C35" s="77">
        <v>1215.6127801398552</v>
      </c>
      <c r="D35" s="77">
        <v>3307.2385496647207</v>
      </c>
      <c r="E35" s="77">
        <v>21683.318247921143</v>
      </c>
      <c r="F35" s="77">
        <v>65687.726225732156</v>
      </c>
      <c r="G35" s="77">
        <v>21884.118920175428</v>
      </c>
      <c r="H35" s="77">
        <v>18538.829302592745</v>
      </c>
      <c r="I35" s="77">
        <v>1408.8291931817741</v>
      </c>
      <c r="J35" s="77">
        <v>815.72901096624298</v>
      </c>
      <c r="K35" s="77">
        <v>63635.85578324263</v>
      </c>
      <c r="M35" s="76">
        <f t="shared" si="0"/>
        <v>120.79320286914803</v>
      </c>
      <c r="N35" s="76">
        <f t="shared" si="1"/>
        <v>30.42987834534533</v>
      </c>
      <c r="O35" s="76">
        <f t="shared" si="2"/>
        <v>82.5159318778623</v>
      </c>
      <c r="P35" s="76">
        <f t="shared" si="3"/>
        <v>891.76714982196756</v>
      </c>
      <c r="Q35" s="76">
        <f t="shared" si="4"/>
        <v>1181.7527431093308</v>
      </c>
      <c r="R35" s="76">
        <f t="shared" si="5"/>
        <v>811.12375538085348</v>
      </c>
      <c r="S35" s="76">
        <f t="shared" si="6"/>
        <v>660.08542851623599</v>
      </c>
      <c r="T35" s="76">
        <f t="shared" si="7"/>
        <v>2265.7903823411593</v>
      </c>
      <c r="U35" s="80">
        <v>3.71</v>
      </c>
      <c r="V35" s="86">
        <f>1.95*10^-4</f>
        <v>1.95E-4</v>
      </c>
      <c r="W35" s="81">
        <f>P35/1000000</f>
        <v>8.9176714982196756E-4</v>
      </c>
      <c r="X35" s="77">
        <f t="shared" si="9"/>
        <v>23452.127542984028</v>
      </c>
      <c r="Y35" s="76">
        <f t="shared" si="10"/>
        <v>4.370182247403581</v>
      </c>
      <c r="Z35" s="81">
        <f>S35/1000000</f>
        <v>6.6008542851623598E-4</v>
      </c>
      <c r="AA35" s="76">
        <f t="shared" si="11"/>
        <v>-3.1803998542577174</v>
      </c>
    </row>
    <row r="36" spans="1:27">
      <c r="A36" t="s">
        <v>48</v>
      </c>
      <c r="B36" s="77">
        <v>3755.3983856686232</v>
      </c>
      <c r="C36" s="77">
        <v>1461.7753097691436</v>
      </c>
      <c r="D36" s="77">
        <v>3911.8545654626282</v>
      </c>
      <c r="E36" s="77">
        <v>19921.561829424321</v>
      </c>
      <c r="F36" s="77">
        <v>66451.493986694288</v>
      </c>
      <c r="G36" s="77">
        <v>30283.834611028087</v>
      </c>
      <c r="H36" s="77">
        <v>25664.235347713271</v>
      </c>
      <c r="I36" s="77">
        <v>1771.3262506319245</v>
      </c>
      <c r="J36" s="77">
        <v>913.44012224179016</v>
      </c>
      <c r="K36" s="77">
        <v>88094.320990693494</v>
      </c>
      <c r="M36" s="76">
        <f t="shared" si="0"/>
        <v>163.35063313593957</v>
      </c>
      <c r="N36" s="76">
        <f t="shared" si="1"/>
        <v>36.591952282195443</v>
      </c>
      <c r="O36" s="76">
        <f t="shared" si="2"/>
        <v>97.601161812939836</v>
      </c>
      <c r="P36" s="76">
        <f t="shared" si="3"/>
        <v>819.31161132734201</v>
      </c>
      <c r="Q36" s="76">
        <f t="shared" si="4"/>
        <v>1195.4932803219265</v>
      </c>
      <c r="R36" s="76">
        <f t="shared" si="5"/>
        <v>1122.4549522249106</v>
      </c>
      <c r="S36" s="76">
        <f t="shared" si="6"/>
        <v>913.78951230041378</v>
      </c>
      <c r="T36" s="76">
        <f t="shared" si="7"/>
        <v>3136.6477716506201</v>
      </c>
      <c r="U36" s="80">
        <v>3.64</v>
      </c>
      <c r="V36" s="86">
        <f>2.3*10^-4</f>
        <v>2.2999999999999998E-4</v>
      </c>
      <c r="W36" s="81">
        <f>P36/1000000</f>
        <v>8.1931161132734202E-4</v>
      </c>
      <c r="X36" s="77">
        <f t="shared" si="9"/>
        <v>15487.932161197394</v>
      </c>
      <c r="Y36" s="76">
        <f t="shared" si="10"/>
        <v>4.1899934377121131</v>
      </c>
      <c r="Z36" s="81">
        <f>S36/1000000</f>
        <v>9.1378951230041382E-4</v>
      </c>
      <c r="AA36" s="76">
        <f t="shared" si="11"/>
        <v>-3.039153830714759</v>
      </c>
    </row>
    <row r="37" spans="1:27">
      <c r="A37" t="s">
        <v>49</v>
      </c>
      <c r="B37" s="77">
        <v>9195.8851056057665</v>
      </c>
      <c r="C37" s="77">
        <v>3296.8347826051254</v>
      </c>
      <c r="D37" s="77">
        <v>4821.8721266124057</v>
      </c>
      <c r="E37" s="77">
        <v>24761.494873733973</v>
      </c>
      <c r="F37" s="77">
        <v>82136.957645842151</v>
      </c>
      <c r="G37" s="77">
        <v>38018.908552726141</v>
      </c>
      <c r="H37" s="77">
        <v>33718.468368094749</v>
      </c>
      <c r="I37" s="77">
        <v>2135.3756237240909</v>
      </c>
      <c r="J37" s="77">
        <v>1230.0829867842715</v>
      </c>
      <c r="K37" s="77">
        <v>115741.05113551152</v>
      </c>
      <c r="M37" s="76">
        <f t="shared" si="0"/>
        <v>399.99848217930418</v>
      </c>
      <c r="N37" s="76">
        <f t="shared" si="1"/>
        <v>82.528156168146722</v>
      </c>
      <c r="O37" s="76">
        <f t="shared" si="2"/>
        <v>120.30619078374266</v>
      </c>
      <c r="P37" s="76">
        <f t="shared" si="3"/>
        <v>1018.3629394914238</v>
      </c>
      <c r="Q37" s="76">
        <f t="shared" si="4"/>
        <v>1477.6820661301097</v>
      </c>
      <c r="R37" s="76">
        <f t="shared" si="5"/>
        <v>1409.1515401306947</v>
      </c>
      <c r="S37" s="76">
        <f t="shared" si="6"/>
        <v>1200.56500215751</v>
      </c>
      <c r="T37" s="76">
        <f t="shared" si="7"/>
        <v>4121.0251245486643</v>
      </c>
      <c r="U37" s="80">
        <v>3.96</v>
      </c>
      <c r="V37" s="86">
        <f>1.1*10^-4</f>
        <v>1.1000000000000002E-4</v>
      </c>
      <c r="W37" s="81">
        <f>P37/1000000</f>
        <v>1.0183629394914238E-3</v>
      </c>
      <c r="X37" s="77">
        <f t="shared" si="9"/>
        <v>84162.226404249872</v>
      </c>
      <c r="Y37" s="76">
        <f t="shared" si="10"/>
        <v>4.9251172156676821</v>
      </c>
      <c r="Z37" s="81">
        <f>S37/1000000</f>
        <v>1.2005650021575101E-3</v>
      </c>
      <c r="AA37" s="76">
        <f t="shared" si="11"/>
        <v>-2.9206143209763211</v>
      </c>
    </row>
    <row r="38" spans="1:27">
      <c r="A38" t="s">
        <v>50</v>
      </c>
      <c r="B38" s="77">
        <v>12728.738452410105</v>
      </c>
      <c r="C38" s="77">
        <v>3987.1609779527944</v>
      </c>
      <c r="D38" s="77">
        <v>4516.2765000134896</v>
      </c>
      <c r="E38" s="77">
        <v>19637.712968433421</v>
      </c>
      <c r="F38" s="77">
        <v>67513.843839608904</v>
      </c>
      <c r="G38" s="77">
        <v>33106.275502028475</v>
      </c>
      <c r="H38" s="77">
        <v>37440.478489512148</v>
      </c>
      <c r="I38" s="77">
        <v>2502.8209887739308</v>
      </c>
      <c r="J38" s="77">
        <v>1354.2181557176898</v>
      </c>
      <c r="K38" s="77">
        <v>128517.11673514255</v>
      </c>
      <c r="M38" s="76">
        <f t="shared" si="0"/>
        <v>553.66895111789165</v>
      </c>
      <c r="N38" s="76">
        <f t="shared" si="1"/>
        <v>99.808775857434526</v>
      </c>
      <c r="O38" s="76">
        <f t="shared" si="2"/>
        <v>112.68154940153417</v>
      </c>
      <c r="P38" s="76">
        <f t="shared" si="3"/>
        <v>807.63779430118939</v>
      </c>
      <c r="Q38" s="76">
        <f t="shared" si="4"/>
        <v>1214.6054482254008</v>
      </c>
      <c r="R38" s="76">
        <f t="shared" si="5"/>
        <v>1227.0672906608033</v>
      </c>
      <c r="S38" s="76">
        <f t="shared" si="6"/>
        <v>1333.089262769477</v>
      </c>
      <c r="T38" s="76">
        <f t="shared" si="7"/>
        <v>4575.9241151178558</v>
      </c>
      <c r="U38" s="80">
        <v>3.55</v>
      </c>
      <c r="V38" s="86">
        <f>2.83*10^-4</f>
        <v>2.8299999999999999E-4</v>
      </c>
      <c r="W38" s="81">
        <f>P38/1000000</f>
        <v>8.0763779430118943E-4</v>
      </c>
      <c r="X38" s="77">
        <f t="shared" si="9"/>
        <v>10084.253696527481</v>
      </c>
      <c r="Y38" s="76">
        <f t="shared" si="10"/>
        <v>4.0036437629877506</v>
      </c>
      <c r="Z38" s="81">
        <f>S38/1000000</f>
        <v>1.3330892627694769E-3</v>
      </c>
      <c r="AA38" s="76">
        <f t="shared" si="11"/>
        <v>-2.875140769543147</v>
      </c>
    </row>
    <row r="39" spans="1:27" s="75" customFormat="1">
      <c r="A39" s="75" t="s">
        <v>99</v>
      </c>
      <c r="B39" s="78">
        <f>SUM(B33:B38)</f>
        <v>31296.889767981927</v>
      </c>
      <c r="C39" s="78">
        <f t="shared" ref="C39" si="39">SUM(C33:C38)</f>
        <v>11173.101563093474</v>
      </c>
      <c r="D39" s="78">
        <f t="shared" ref="D39" si="40">SUM(D33:D38)</f>
        <v>23908.916853821065</v>
      </c>
      <c r="E39" s="78">
        <f t="shared" ref="E39" si="41">SUM(E33:E38)</f>
        <v>113754.89987286962</v>
      </c>
      <c r="F39" s="78">
        <f t="shared" ref="F39" si="42">SUM(F33:F38)</f>
        <v>339041.72078765527</v>
      </c>
      <c r="G39" s="78">
        <f t="shared" ref="G39" si="43">SUM(G33:G38)</f>
        <v>155122.97230289722</v>
      </c>
      <c r="H39" s="78">
        <f t="shared" ref="H39" si="44">SUM(H33:H38)</f>
        <v>138070.24209202366</v>
      </c>
      <c r="I39" s="78">
        <f t="shared" ref="I39" si="45">SUM(I33:I38)</f>
        <v>8871.1510483195616</v>
      </c>
      <c r="J39" s="78">
        <f t="shared" ref="J39" si="46">SUM(J33:J38)</f>
        <v>5303.6334004232594</v>
      </c>
      <c r="K39" s="78">
        <f t="shared" ref="K39" si="47">SUM(K33:K38)</f>
        <v>473935.96814102062</v>
      </c>
      <c r="M39" s="76">
        <f t="shared" si="0"/>
        <v>1361.3380615743472</v>
      </c>
      <c r="N39" s="76">
        <f t="shared" si="1"/>
        <v>279.69113755615984</v>
      </c>
      <c r="O39" s="76">
        <f t="shared" si="2"/>
        <v>596.52986162228206</v>
      </c>
      <c r="P39" s="76">
        <f t="shared" si="3"/>
        <v>4678.383708528464</v>
      </c>
      <c r="Q39" s="76">
        <f t="shared" si="4"/>
        <v>6099.5182295161512</v>
      </c>
      <c r="R39" s="76">
        <f t="shared" si="5"/>
        <v>5749.5541995143521</v>
      </c>
      <c r="S39" s="76">
        <f t="shared" si="6"/>
        <v>4916.0685083770513</v>
      </c>
      <c r="T39" s="76">
        <f t="shared" si="7"/>
        <v>16874.756302754828</v>
      </c>
      <c r="U39" s="82"/>
      <c r="V39" s="86"/>
      <c r="W39" s="81"/>
      <c r="X39" s="77"/>
      <c r="Y39" s="76"/>
      <c r="Z39" s="81"/>
      <c r="AA39" s="76"/>
    </row>
    <row r="40" spans="1:27">
      <c r="A40" t="s">
        <v>51</v>
      </c>
      <c r="B40" s="77">
        <v>937.4181542792021</v>
      </c>
      <c r="C40" s="77">
        <v>294.93122079921028</v>
      </c>
      <c r="D40" s="77">
        <v>3543.0352753997099</v>
      </c>
      <c r="E40" s="77">
        <v>7213.202868885166</v>
      </c>
      <c r="F40" s="77">
        <v>368.4229734007568</v>
      </c>
      <c r="G40" s="77">
        <v>9847.9899068753566</v>
      </c>
      <c r="H40" s="77">
        <v>6595.93644619102</v>
      </c>
      <c r="I40" s="77">
        <v>-5.8708274052813803</v>
      </c>
      <c r="J40" s="77">
        <v>196.74094601776628</v>
      </c>
      <c r="K40" s="77">
        <v>22641.022989868263</v>
      </c>
      <c r="M40" s="76">
        <f t="shared" si="0"/>
        <v>40.775394056459916</v>
      </c>
      <c r="N40" s="76">
        <f t="shared" si="1"/>
        <v>7.382878261720494</v>
      </c>
      <c r="O40" s="76">
        <f t="shared" si="2"/>
        <v>88.39908371755763</v>
      </c>
      <c r="P40" s="76">
        <f t="shared" si="3"/>
        <v>296.65650293584889</v>
      </c>
      <c r="Q40" s="76">
        <f t="shared" si="4"/>
        <v>6.6281006278808459</v>
      </c>
      <c r="R40" s="76">
        <f t="shared" si="5"/>
        <v>365.01074525112517</v>
      </c>
      <c r="S40" s="76">
        <f t="shared" si="6"/>
        <v>234.85202137013832</v>
      </c>
      <c r="T40" s="76">
        <f t="shared" si="7"/>
        <v>806.14633849738334</v>
      </c>
      <c r="U40" s="80">
        <v>3.68</v>
      </c>
      <c r="V40" s="86">
        <f>2.1*10^-4</f>
        <v>2.1000000000000001E-4</v>
      </c>
      <c r="W40" s="81">
        <f>P40/1000000</f>
        <v>2.9665650293584891E-4</v>
      </c>
      <c r="X40" s="77">
        <f t="shared" si="9"/>
        <v>6726.9048284772989</v>
      </c>
      <c r="Y40" s="76">
        <f t="shared" si="10"/>
        <v>3.8278152833748602</v>
      </c>
      <c r="Z40" s="81">
        <f>S40/1000000</f>
        <v>2.3485202137013832E-4</v>
      </c>
      <c r="AA40" s="76">
        <f t="shared" si="11"/>
        <v>-3.6292056974942768</v>
      </c>
    </row>
    <row r="41" spans="1:27">
      <c r="A41" t="s">
        <v>52</v>
      </c>
      <c r="B41" s="77">
        <v>2130.8252318719192</v>
      </c>
      <c r="C41" s="77">
        <v>979.34825232761432</v>
      </c>
      <c r="D41" s="77">
        <v>2634.4234364211425</v>
      </c>
      <c r="E41" s="77">
        <v>17753.832193874106</v>
      </c>
      <c r="F41" s="77">
        <v>46644.401808164628</v>
      </c>
      <c r="G41" s="77">
        <v>18747.648421402886</v>
      </c>
      <c r="H41" s="77">
        <v>14811.885139799791</v>
      </c>
      <c r="I41" s="77">
        <v>765.00242604669529</v>
      </c>
      <c r="J41" s="77">
        <v>602.37833118214257</v>
      </c>
      <c r="K41" s="77">
        <v>50842.853734158482</v>
      </c>
      <c r="M41" s="76">
        <f t="shared" si="0"/>
        <v>92.68567938267924</v>
      </c>
      <c r="N41" s="76">
        <f t="shared" si="1"/>
        <v>24.515576557715388</v>
      </c>
      <c r="O41" s="76">
        <f t="shared" si="2"/>
        <v>65.729127655218122</v>
      </c>
      <c r="P41" s="76">
        <f t="shared" si="3"/>
        <v>730.15966250767451</v>
      </c>
      <c r="Q41" s="76">
        <f t="shared" si="4"/>
        <v>839.154480672207</v>
      </c>
      <c r="R41" s="76">
        <f t="shared" si="5"/>
        <v>694.8720689919528</v>
      </c>
      <c r="S41" s="76">
        <f t="shared" si="6"/>
        <v>527.38548859019033</v>
      </c>
      <c r="T41" s="76">
        <f t="shared" si="7"/>
        <v>1810.2883599778704</v>
      </c>
      <c r="U41" s="80">
        <v>3.74</v>
      </c>
      <c r="V41" s="86">
        <f>1.8*10^-4</f>
        <v>1.8000000000000001E-4</v>
      </c>
      <c r="W41" s="81">
        <f>P41/1000000</f>
        <v>7.3015966250767456E-4</v>
      </c>
      <c r="X41" s="77">
        <f t="shared" si="9"/>
        <v>22535.792052706001</v>
      </c>
      <c r="Y41" s="76">
        <f t="shared" si="10"/>
        <v>4.3528728265771592</v>
      </c>
      <c r="Z41" s="81">
        <f>S41/1000000</f>
        <v>5.2738548859019034E-4</v>
      </c>
      <c r="AA41" s="76">
        <f t="shared" si="11"/>
        <v>-3.2778718243186735</v>
      </c>
    </row>
    <row r="42" spans="1:27">
      <c r="A42" t="s">
        <v>53</v>
      </c>
      <c r="B42" s="77">
        <v>3969.966475195321</v>
      </c>
      <c r="C42" s="77">
        <v>1992.9031296520918</v>
      </c>
      <c r="D42" s="77">
        <v>3283.896145928476</v>
      </c>
      <c r="E42" s="77">
        <v>25116.092970410438</v>
      </c>
      <c r="F42" s="77">
        <v>71573.640391091045</v>
      </c>
      <c r="G42" s="77">
        <v>25852.75918555395</v>
      </c>
      <c r="H42" s="77">
        <v>21578.417909110216</v>
      </c>
      <c r="I42" s="77">
        <v>1357.8100199840455</v>
      </c>
      <c r="J42" s="77">
        <v>912.78092020347731</v>
      </c>
      <c r="K42" s="77">
        <v>74069.460788585755</v>
      </c>
      <c r="M42" s="76">
        <f t="shared" si="0"/>
        <v>172.68381957195456</v>
      </c>
      <c r="N42" s="76">
        <f t="shared" si="1"/>
        <v>49.887431902775901</v>
      </c>
      <c r="O42" s="76">
        <f t="shared" si="2"/>
        <v>81.93353657506178</v>
      </c>
      <c r="P42" s="76">
        <f t="shared" si="3"/>
        <v>1032.9464515899831</v>
      </c>
      <c r="Q42" s="76">
        <f t="shared" si="4"/>
        <v>1287.643076209248</v>
      </c>
      <c r="R42" s="76">
        <f t="shared" si="5"/>
        <v>958.21939160689215</v>
      </c>
      <c r="S42" s="76">
        <f t="shared" si="6"/>
        <v>768.31168784996589</v>
      </c>
      <c r="T42" s="76">
        <f t="shared" si="7"/>
        <v>2637.2847479512825</v>
      </c>
      <c r="U42" s="80">
        <v>3.68</v>
      </c>
      <c r="V42" s="86">
        <f>2.1*10^-4</f>
        <v>2.1000000000000001E-4</v>
      </c>
      <c r="W42" s="81">
        <f>P42/1000000</f>
        <v>1.0329464515899832E-3</v>
      </c>
      <c r="X42" s="77">
        <f t="shared" si="9"/>
        <v>23422.822031518888</v>
      </c>
      <c r="Y42" s="76">
        <f t="shared" si="10"/>
        <v>4.369639218613476</v>
      </c>
      <c r="Z42" s="81">
        <f>S42/1000000</f>
        <v>7.6831168784996593E-4</v>
      </c>
      <c r="AA42" s="76">
        <f t="shared" si="11"/>
        <v>-3.1144625601086195</v>
      </c>
    </row>
    <row r="43" spans="1:27">
      <c r="A43" t="s">
        <v>54</v>
      </c>
      <c r="B43" s="77">
        <v>4452.2619600708522</v>
      </c>
      <c r="C43" s="77">
        <v>1461.3329122407838</v>
      </c>
      <c r="D43" s="77">
        <v>3074.3923774930217</v>
      </c>
      <c r="E43" s="77">
        <v>16099.800384326394</v>
      </c>
      <c r="F43" s="77">
        <v>44897.620305111377</v>
      </c>
      <c r="G43" s="77">
        <v>29192.000793457813</v>
      </c>
      <c r="H43" s="77">
        <v>22278.962500165959</v>
      </c>
      <c r="I43" s="77">
        <v>987.21802347097378</v>
      </c>
      <c r="J43" s="77">
        <v>598.65139321236052</v>
      </c>
      <c r="K43" s="77">
        <v>76474.130136283944</v>
      </c>
      <c r="M43" s="76">
        <f t="shared" si="0"/>
        <v>193.66249206477883</v>
      </c>
      <c r="N43" s="76">
        <f t="shared" si="1"/>
        <v>36.580877947351148</v>
      </c>
      <c r="O43" s="76">
        <f t="shared" si="2"/>
        <v>76.706396644037468</v>
      </c>
      <c r="P43" s="76">
        <f t="shared" si="3"/>
        <v>662.13450069201701</v>
      </c>
      <c r="Q43" s="76">
        <f t="shared" si="4"/>
        <v>807.72906908538948</v>
      </c>
      <c r="R43" s="76">
        <f t="shared" si="5"/>
        <v>1081.9866861919129</v>
      </c>
      <c r="S43" s="76">
        <f t="shared" si="6"/>
        <v>793.25497143244593</v>
      </c>
      <c r="T43" s="76">
        <f t="shared" si="7"/>
        <v>2722.9043505112581</v>
      </c>
      <c r="U43" s="80">
        <v>3.99</v>
      </c>
      <c r="V43" s="86">
        <f>1.03*10^-4</f>
        <v>1.0300000000000001E-4</v>
      </c>
      <c r="W43" s="81">
        <f>P43/1000000</f>
        <v>6.6213450069201702E-4</v>
      </c>
      <c r="X43" s="77">
        <f t="shared" si="9"/>
        <v>62412.527164861611</v>
      </c>
      <c r="Y43" s="76">
        <f t="shared" si="10"/>
        <v>4.7952717680885524</v>
      </c>
      <c r="Z43" s="81">
        <f>S43/1000000</f>
        <v>7.9325497143244595E-4</v>
      </c>
      <c r="AA43" s="76">
        <f t="shared" si="11"/>
        <v>-3.1005871974388168</v>
      </c>
    </row>
    <row r="44" spans="1:27">
      <c r="A44" t="s">
        <v>55</v>
      </c>
      <c r="B44" s="77">
        <v>8335.4769713163732</v>
      </c>
      <c r="C44" s="77">
        <v>2724.9317807650805</v>
      </c>
      <c r="D44" s="77">
        <v>3378.1621442452179</v>
      </c>
      <c r="E44" s="77">
        <v>17046.7052727097</v>
      </c>
      <c r="F44" s="77">
        <v>46082.629137628166</v>
      </c>
      <c r="G44" s="77">
        <v>24700.277710234328</v>
      </c>
      <c r="H44" s="77">
        <v>23868.51915360054</v>
      </c>
      <c r="I44" s="77">
        <v>1848.7534643124418</v>
      </c>
      <c r="J44" s="77">
        <v>868.41166198466328</v>
      </c>
      <c r="K44" s="77">
        <v>81930.396888959105</v>
      </c>
      <c r="M44" s="76">
        <f t="shared" si="0"/>
        <v>362.57283540162916</v>
      </c>
      <c r="N44" s="76">
        <f t="shared" si="1"/>
        <v>68.21197008023131</v>
      </c>
      <c r="O44" s="76">
        <f t="shared" si="2"/>
        <v>84.285482640848755</v>
      </c>
      <c r="P44" s="76">
        <f t="shared" si="3"/>
        <v>701.0777410121201</v>
      </c>
      <c r="Q44" s="76">
        <f t="shared" si="4"/>
        <v>829.0479290748973</v>
      </c>
      <c r="R44" s="76">
        <f t="shared" si="5"/>
        <v>915.5032509352975</v>
      </c>
      <c r="S44" s="76">
        <f t="shared" si="6"/>
        <v>849.85202875507082</v>
      </c>
      <c r="T44" s="76">
        <f t="shared" si="7"/>
        <v>2917.1777924181201</v>
      </c>
      <c r="U44" s="80">
        <v>4.1500000000000004</v>
      </c>
      <c r="V44" s="86">
        <f>0.7*10^-4</f>
        <v>6.9999999999999994E-5</v>
      </c>
      <c r="W44" s="81">
        <f>P44/1000000</f>
        <v>7.0107774101212008E-4</v>
      </c>
      <c r="X44" s="77">
        <f t="shared" si="9"/>
        <v>143077.0900024735</v>
      </c>
      <c r="Y44" s="76">
        <f t="shared" si="10"/>
        <v>5.155570098595188</v>
      </c>
      <c r="Z44" s="81">
        <f>S44/1000000</f>
        <v>8.4985202875507081E-4</v>
      </c>
      <c r="AA44" s="76">
        <f t="shared" si="11"/>
        <v>-3.070656684508513</v>
      </c>
    </row>
    <row r="45" spans="1:27">
      <c r="A45" t="s">
        <v>56</v>
      </c>
      <c r="B45" s="77">
        <v>15092.592673330681</v>
      </c>
      <c r="C45" s="77">
        <v>6325.8770532444387</v>
      </c>
      <c r="D45" s="77">
        <v>22556.184401937415</v>
      </c>
      <c r="E45" s="77">
        <v>40533.622880040915</v>
      </c>
      <c r="F45" s="77">
        <v>64315.758374488869</v>
      </c>
      <c r="G45" s="77">
        <v>74981.224697867481</v>
      </c>
      <c r="H45" s="77">
        <v>70032.911777933405</v>
      </c>
      <c r="I45" s="77">
        <v>18.788498071498474</v>
      </c>
      <c r="J45" s="77">
        <v>2100.2847164224431</v>
      </c>
      <c r="K45" s="77">
        <v>240392.97202859769</v>
      </c>
      <c r="M45" s="76">
        <f t="shared" si="0"/>
        <v>656.49082085667044</v>
      </c>
      <c r="N45" s="76">
        <f t="shared" si="1"/>
        <v>158.35278495154799</v>
      </c>
      <c r="O45" s="76">
        <f t="shared" si="2"/>
        <v>562.77905194454627</v>
      </c>
      <c r="P45" s="76">
        <f t="shared" si="3"/>
        <v>1667.0212987884397</v>
      </c>
      <c r="Q45" s="76">
        <f t="shared" si="4"/>
        <v>1157.0704034269834</v>
      </c>
      <c r="R45" s="76">
        <f t="shared" si="5"/>
        <v>2779.1410191944951</v>
      </c>
      <c r="S45" s="76">
        <f t="shared" si="6"/>
        <v>2493.5611535466132</v>
      </c>
      <c r="T45" s="76">
        <f t="shared" si="7"/>
        <v>8559.3267710597174</v>
      </c>
      <c r="U45" s="80">
        <v>3.61</v>
      </c>
      <c r="V45" s="86">
        <f>2.45*10^-4</f>
        <v>2.4500000000000005E-4</v>
      </c>
      <c r="W45" s="81">
        <f>P45/1000000</f>
        <v>1.6670212987884396E-3</v>
      </c>
      <c r="X45" s="77">
        <f t="shared" si="9"/>
        <v>27772.116597891527</v>
      </c>
      <c r="Y45" s="76">
        <f t="shared" si="10"/>
        <v>4.4436089799214953</v>
      </c>
      <c r="Z45" s="81">
        <f>S45/1000000</f>
        <v>2.4935611535466134E-3</v>
      </c>
      <c r="AA45" s="76">
        <f t="shared" si="11"/>
        <v>-2.6031799764240939</v>
      </c>
    </row>
    <row r="46" spans="1:27" s="75" customFormat="1">
      <c r="A46" s="75" t="s">
        <v>100</v>
      </c>
      <c r="B46" s="78">
        <f>SUM(B40:B45)</f>
        <v>34918.541466064344</v>
      </c>
      <c r="C46" s="78">
        <f t="shared" ref="C46" si="48">SUM(C40:C45)</f>
        <v>13779.324349029219</v>
      </c>
      <c r="D46" s="78">
        <f t="shared" ref="D46" si="49">SUM(D40:D45)</f>
        <v>38470.093781424985</v>
      </c>
      <c r="E46" s="78">
        <f t="shared" ref="E46" si="50">SUM(E40:E45)</f>
        <v>123763.25657024671</v>
      </c>
      <c r="F46" s="78">
        <f t="shared" ref="F46" si="51">SUM(F40:F45)</f>
        <v>273882.47298988485</v>
      </c>
      <c r="G46" s="78">
        <f t="shared" ref="G46" si="52">SUM(G40:G45)</f>
        <v>183321.90071539179</v>
      </c>
      <c r="H46" s="78">
        <f t="shared" ref="H46" si="53">SUM(H40:H45)</f>
        <v>159166.63292680093</v>
      </c>
      <c r="I46" s="78">
        <f t="shared" ref="I46" si="54">SUM(I40:I45)</f>
        <v>4971.701604480374</v>
      </c>
      <c r="J46" s="78">
        <f t="shared" ref="J46" si="55">SUM(J40:J45)</f>
        <v>5279.2479690228538</v>
      </c>
      <c r="K46" s="78">
        <f t="shared" ref="K46" si="56">SUM(K40:K45)</f>
        <v>546350.83656645322</v>
      </c>
      <c r="M46" s="76">
        <f t="shared" si="0"/>
        <v>1518.8710413341719</v>
      </c>
      <c r="N46" s="76">
        <f t="shared" si="1"/>
        <v>344.93151970134221</v>
      </c>
      <c r="O46" s="76">
        <f t="shared" si="2"/>
        <v>959.83267917727017</v>
      </c>
      <c r="P46" s="76">
        <f t="shared" si="3"/>
        <v>5089.9961575260832</v>
      </c>
      <c r="Q46" s="76">
        <f t="shared" si="4"/>
        <v>4927.2730590966057</v>
      </c>
      <c r="R46" s="76">
        <f t="shared" si="5"/>
        <v>6794.7331621716748</v>
      </c>
      <c r="S46" s="76">
        <f t="shared" si="6"/>
        <v>5667.2173515444247</v>
      </c>
      <c r="T46" s="76">
        <f t="shared" si="7"/>
        <v>19453.128360415634</v>
      </c>
      <c r="U46" s="82"/>
      <c r="V46" s="86"/>
      <c r="W46" s="81"/>
      <c r="X46" s="77"/>
      <c r="Y46" s="76"/>
      <c r="Z46" s="81"/>
      <c r="AA46" s="76"/>
    </row>
    <row r="47" spans="1:27">
      <c r="A47" t="s">
        <v>57</v>
      </c>
      <c r="B47" s="77">
        <v>1583.0608283165657</v>
      </c>
      <c r="C47" s="77">
        <v>397.21022935607499</v>
      </c>
      <c r="D47" s="77">
        <v>4045.395109114982</v>
      </c>
      <c r="E47" s="77">
        <v>7072.7237100296497</v>
      </c>
      <c r="F47" s="77">
        <v>1430.5756029706697</v>
      </c>
      <c r="G47" s="77">
        <v>7241.8146819304811</v>
      </c>
      <c r="H47" s="77">
        <v>4901.32944370733</v>
      </c>
      <c r="I47" s="77">
        <v>-9.0998925886143933</v>
      </c>
      <c r="J47" s="77">
        <v>183.97089866722752</v>
      </c>
      <c r="K47" s="77">
        <v>16824.163410485675</v>
      </c>
      <c r="M47" s="76">
        <f t="shared" si="0"/>
        <v>68.859269254911553</v>
      </c>
      <c r="N47" s="76">
        <f t="shared" si="1"/>
        <v>9.9431818703333086</v>
      </c>
      <c r="O47" s="76">
        <f t="shared" si="2"/>
        <v>100.93301170446563</v>
      </c>
      <c r="P47" s="76">
        <f t="shared" si="3"/>
        <v>290.87903393089243</v>
      </c>
      <c r="Q47" s="76">
        <f t="shared" si="4"/>
        <v>25.736720391664473</v>
      </c>
      <c r="R47" s="76">
        <f t="shared" si="5"/>
        <v>268.41418391143367</v>
      </c>
      <c r="S47" s="76">
        <f t="shared" si="6"/>
        <v>174.51458737452884</v>
      </c>
      <c r="T47" s="76">
        <f t="shared" si="7"/>
        <v>599.03378649073977</v>
      </c>
      <c r="U47" s="80">
        <v>3.78</v>
      </c>
      <c r="V47" s="86">
        <f>1.65*10^-4</f>
        <v>1.65E-4</v>
      </c>
      <c r="W47" s="81">
        <f>P47/1000000</f>
        <v>2.9087903393089246E-4</v>
      </c>
      <c r="X47" s="77">
        <f t="shared" si="9"/>
        <v>10684.262036029108</v>
      </c>
      <c r="Y47" s="76">
        <f t="shared" si="10"/>
        <v>4.0287445307351444</v>
      </c>
      <c r="Z47" s="81">
        <f>S47/1000000</f>
        <v>1.7451458737452883E-4</v>
      </c>
      <c r="AA47" s="76">
        <f t="shared" si="11"/>
        <v>-3.7581682652579187</v>
      </c>
    </row>
    <row r="48" spans="1:27">
      <c r="A48" t="s">
        <v>58</v>
      </c>
      <c r="B48" s="77">
        <v>5454.8312923657004</v>
      </c>
      <c r="C48" s="77">
        <v>2387.2334392963839</v>
      </c>
      <c r="D48" s="77">
        <v>5224.8799079267019</v>
      </c>
      <c r="E48" s="77">
        <v>37342.628110379897</v>
      </c>
      <c r="F48" s="77">
        <v>84566.63284409701</v>
      </c>
      <c r="G48" s="77">
        <v>31727.925462234187</v>
      </c>
      <c r="H48" s="77">
        <v>21846.556890173717</v>
      </c>
      <c r="I48" s="77">
        <v>1872.7432867883995</v>
      </c>
      <c r="J48" s="77">
        <v>988.42587183262071</v>
      </c>
      <c r="K48" s="77">
        <v>74989.866993870572</v>
      </c>
      <c r="M48" s="76">
        <f t="shared" si="0"/>
        <v>237.27180281540947</v>
      </c>
      <c r="N48" s="76">
        <f t="shared" si="1"/>
        <v>59.75852206108901</v>
      </c>
      <c r="O48" s="76">
        <f t="shared" si="2"/>
        <v>130.36127514787182</v>
      </c>
      <c r="P48" s="76">
        <f t="shared" si="3"/>
        <v>1535.7856512597118</v>
      </c>
      <c r="Q48" s="76">
        <f t="shared" si="4"/>
        <v>1521.3930528757221</v>
      </c>
      <c r="R48" s="76">
        <f t="shared" si="5"/>
        <v>1175.9794463392952</v>
      </c>
      <c r="S48" s="76">
        <f t="shared" si="6"/>
        <v>777.85892685455906</v>
      </c>
      <c r="T48" s="76">
        <f t="shared" si="7"/>
        <v>2670.0563277801921</v>
      </c>
      <c r="U48" s="80">
        <v>3.82</v>
      </c>
      <c r="V48" s="86">
        <f>1.53*10^-4</f>
        <v>1.5300000000000001E-4</v>
      </c>
      <c r="W48" s="81">
        <f>P48/1000000</f>
        <v>1.5357856512597118E-3</v>
      </c>
      <c r="X48" s="77">
        <f t="shared" si="9"/>
        <v>65606.632118403679</v>
      </c>
      <c r="Y48" s="76">
        <f t="shared" si="10"/>
        <v>4.8169477440530688</v>
      </c>
      <c r="Z48" s="81">
        <f>S48/1000000</f>
        <v>7.7785892685455901E-4</v>
      </c>
      <c r="AA48" s="76">
        <f t="shared" si="11"/>
        <v>-3.1090991598792277</v>
      </c>
    </row>
    <row r="49" spans="1:27">
      <c r="A49" t="s">
        <v>59</v>
      </c>
      <c r="B49" s="77">
        <v>8666.5723204205751</v>
      </c>
      <c r="C49" s="77">
        <v>3478.4785468930663</v>
      </c>
      <c r="D49" s="77">
        <v>5178.1465012989847</v>
      </c>
      <c r="E49" s="77">
        <v>44455.834669366515</v>
      </c>
      <c r="F49" s="77">
        <v>104428.11155731496</v>
      </c>
      <c r="G49" s="77">
        <v>38674.795867770379</v>
      </c>
      <c r="H49" s="77">
        <v>33242.870385828646</v>
      </c>
      <c r="I49" s="77">
        <v>2905.0279269602579</v>
      </c>
      <c r="J49" s="77">
        <v>1321.5644692667804</v>
      </c>
      <c r="K49" s="77">
        <v>114108.52709009867</v>
      </c>
      <c r="M49" s="76">
        <f t="shared" si="0"/>
        <v>376.97467226424658</v>
      </c>
      <c r="N49" s="76">
        <f t="shared" si="1"/>
        <v>87.075161382123412</v>
      </c>
      <c r="O49" s="76">
        <f t="shared" si="2"/>
        <v>129.19527198849764</v>
      </c>
      <c r="P49" s="76">
        <f t="shared" si="3"/>
        <v>1828.3296183165335</v>
      </c>
      <c r="Q49" s="76">
        <f t="shared" si="4"/>
        <v>1878.7102915771334</v>
      </c>
      <c r="R49" s="76">
        <f t="shared" si="5"/>
        <v>1433.4616704140244</v>
      </c>
      <c r="S49" s="76">
        <f t="shared" si="6"/>
        <v>1183.6310689084632</v>
      </c>
      <c r="T49" s="76">
        <f t="shared" si="7"/>
        <v>4062.8981891046506</v>
      </c>
      <c r="U49" s="80">
        <v>3.68</v>
      </c>
      <c r="V49" s="86">
        <f>2.1*10^-4</f>
        <v>2.1000000000000001E-4</v>
      </c>
      <c r="W49" s="81">
        <f>P49/1000000</f>
        <v>1.8283296183165335E-3</v>
      </c>
      <c r="X49" s="77">
        <f t="shared" si="9"/>
        <v>41458.721503776265</v>
      </c>
      <c r="Y49" s="76">
        <f t="shared" si="10"/>
        <v>4.6176159052731274</v>
      </c>
      <c r="Z49" s="81">
        <f>S49/1000000</f>
        <v>1.1836310689084632E-3</v>
      </c>
      <c r="AA49" s="76">
        <f t="shared" si="11"/>
        <v>-2.9267836436479251</v>
      </c>
    </row>
    <row r="50" spans="1:27">
      <c r="A50" t="s">
        <v>60</v>
      </c>
      <c r="B50" s="77">
        <v>9484.0578236351048</v>
      </c>
      <c r="C50" s="77">
        <v>3305.6892338461175</v>
      </c>
      <c r="D50" s="77">
        <v>5443.5158174469952</v>
      </c>
      <c r="E50" s="77">
        <v>29399.636993082127</v>
      </c>
      <c r="F50" s="77">
        <v>72376.52261110238</v>
      </c>
      <c r="G50" s="77">
        <v>47270.839242756578</v>
      </c>
      <c r="H50" s="77">
        <v>39846.877124957173</v>
      </c>
      <c r="I50" s="77">
        <v>3364.5832438238458</v>
      </c>
      <c r="J50" s="77">
        <v>1269.1639598376682</v>
      </c>
      <c r="K50" s="77">
        <v>136777.25193692441</v>
      </c>
      <c r="M50" s="76">
        <f t="shared" si="0"/>
        <v>412.53328970391675</v>
      </c>
      <c r="N50" s="76">
        <f t="shared" si="1"/>
        <v>82.749805593424384</v>
      </c>
      <c r="O50" s="76">
        <f t="shared" si="2"/>
        <v>135.81626291035417</v>
      </c>
      <c r="P50" s="76">
        <f t="shared" si="3"/>
        <v>1209.1152372232007</v>
      </c>
      <c r="Q50" s="76">
        <f t="shared" si="4"/>
        <v>1302.0873007304556</v>
      </c>
      <c r="R50" s="76">
        <f t="shared" si="5"/>
        <v>1752.069653178524</v>
      </c>
      <c r="S50" s="76">
        <f t="shared" si="6"/>
        <v>1418.770437590827</v>
      </c>
      <c r="T50" s="76">
        <f t="shared" si="7"/>
        <v>4870.0308677760559</v>
      </c>
      <c r="U50" s="80">
        <v>4.05</v>
      </c>
      <c r="V50" s="86">
        <f>0.9*10^-4</f>
        <v>9.0000000000000006E-5</v>
      </c>
      <c r="W50" s="81">
        <f>P50/1000000</f>
        <v>1.2091152372232007E-3</v>
      </c>
      <c r="X50" s="77">
        <f t="shared" si="9"/>
        <v>149273.48607693834</v>
      </c>
      <c r="Y50" s="76">
        <f t="shared" si="10"/>
        <v>5.1739826752866378</v>
      </c>
      <c r="Z50" s="81">
        <f>S50/1000000</f>
        <v>1.418770437590827E-3</v>
      </c>
      <c r="AA50" s="76">
        <f t="shared" si="11"/>
        <v>-2.8480878693436904</v>
      </c>
    </row>
    <row r="51" spans="1:27">
      <c r="A51" t="s">
        <v>61</v>
      </c>
      <c r="B51" s="77">
        <v>13802.682912673519</v>
      </c>
      <c r="C51" s="77">
        <v>4358.3551073032149</v>
      </c>
      <c r="D51" s="77">
        <v>13674.665038864377</v>
      </c>
      <c r="E51" s="77">
        <v>50709.206930267166</v>
      </c>
      <c r="F51" s="77">
        <v>138117.94787513278</v>
      </c>
      <c r="G51" s="77">
        <v>58347.275963389358</v>
      </c>
      <c r="H51" s="77">
        <v>61263.690420712264</v>
      </c>
      <c r="I51" s="77">
        <v>4408.8571428571431</v>
      </c>
      <c r="J51" s="77">
        <v>1549.5671020961372</v>
      </c>
      <c r="K51" s="77">
        <v>210291.99334698202</v>
      </c>
      <c r="M51" s="76">
        <f t="shared" si="0"/>
        <v>600.38290514373853</v>
      </c>
      <c r="N51" s="76">
        <f t="shared" si="1"/>
        <v>109.10070860376527</v>
      </c>
      <c r="O51" s="76">
        <f t="shared" si="2"/>
        <v>341.18425745669606</v>
      </c>
      <c r="P51" s="76">
        <f t="shared" si="3"/>
        <v>2085.5112864596817</v>
      </c>
      <c r="Q51" s="76">
        <f t="shared" si="4"/>
        <v>2484.806114511699</v>
      </c>
      <c r="R51" s="76">
        <f t="shared" si="5"/>
        <v>2162.6121557964921</v>
      </c>
      <c r="S51" s="76">
        <f t="shared" si="6"/>
        <v>2181.3281024269559</v>
      </c>
      <c r="T51" s="76">
        <f t="shared" si="7"/>
        <v>7487.5645207306998</v>
      </c>
      <c r="U51" s="80">
        <v>4.21</v>
      </c>
      <c r="V51" s="86">
        <f>0.62*10^-4</f>
        <v>6.2000000000000003E-5</v>
      </c>
      <c r="W51" s="81">
        <f>P51/1000000</f>
        <v>2.0855112864596819E-3</v>
      </c>
      <c r="X51" s="77">
        <f t="shared" si="9"/>
        <v>542536.75506235217</v>
      </c>
      <c r="Y51" s="76">
        <f t="shared" si="10"/>
        <v>5.7344291655252588</v>
      </c>
      <c r="Z51" s="81">
        <f>S51/1000000</f>
        <v>2.181328102426956E-3</v>
      </c>
      <c r="AA51" s="76">
        <f t="shared" si="11"/>
        <v>-2.6612790055095585</v>
      </c>
    </row>
    <row r="52" spans="1:27">
      <c r="A52" t="s">
        <v>62</v>
      </c>
      <c r="B52" s="77">
        <v>15676.971506614807</v>
      </c>
      <c r="C52" s="77">
        <v>7181.9024006996251</v>
      </c>
      <c r="D52" s="77">
        <v>19386.13094493216</v>
      </c>
      <c r="E52" s="77">
        <v>29827.009563989301</v>
      </c>
      <c r="F52" s="77">
        <v>41693.831906592539</v>
      </c>
      <c r="G52" s="77">
        <v>50689.368234838134</v>
      </c>
      <c r="H52" s="77">
        <v>70216.634162134156</v>
      </c>
      <c r="I52" s="77">
        <v>-1.9763694951664879</v>
      </c>
      <c r="J52" s="77">
        <v>2411.7573746485023</v>
      </c>
      <c r="K52" s="77">
        <v>241023.61223539422</v>
      </c>
      <c r="M52" s="76">
        <f t="shared" si="0"/>
        <v>681.90986901211875</v>
      </c>
      <c r="N52" s="76">
        <f t="shared" si="1"/>
        <v>179.78127567586927</v>
      </c>
      <c r="O52" s="76">
        <f t="shared" si="2"/>
        <v>483.68590181966471</v>
      </c>
      <c r="P52" s="76">
        <f t="shared" si="3"/>
        <v>1226.6917361295209</v>
      </c>
      <c r="Q52" s="76">
        <f t="shared" si="4"/>
        <v>750.09142586295832</v>
      </c>
      <c r="R52" s="76">
        <f t="shared" si="5"/>
        <v>1878.7756943972622</v>
      </c>
      <c r="S52" s="76">
        <f t="shared" si="6"/>
        <v>2500.1026922124997</v>
      </c>
      <c r="T52" s="76">
        <f t="shared" si="7"/>
        <v>8581.7810697831337</v>
      </c>
      <c r="U52" s="80">
        <v>3.64</v>
      </c>
      <c r="V52" s="86">
        <f>2.3*10^-4</f>
        <v>2.2999999999999998E-4</v>
      </c>
      <c r="W52" s="81">
        <f>P52/1000000</f>
        <v>1.2266917361295209E-3</v>
      </c>
      <c r="X52" s="77">
        <f t="shared" si="9"/>
        <v>23188.879699990946</v>
      </c>
      <c r="Y52" s="76">
        <f t="shared" si="10"/>
        <v>4.3652797675312742</v>
      </c>
      <c r="Z52" s="81">
        <f>S52/1000000</f>
        <v>2.5001026922124997E-3</v>
      </c>
      <c r="AA52" s="76">
        <f t="shared" si="11"/>
        <v>-2.602042152229858</v>
      </c>
    </row>
    <row r="53" spans="1:27" s="75" customFormat="1">
      <c r="A53" s="75" t="s">
        <v>101</v>
      </c>
      <c r="B53" s="78">
        <f>SUM(B47:B52)</f>
        <v>54668.176684026272</v>
      </c>
      <c r="C53" s="78">
        <f t="shared" ref="C53" si="57">SUM(C47:C52)</f>
        <v>21108.868957394483</v>
      </c>
      <c r="D53" s="78">
        <f t="shared" ref="D53" si="58">SUM(D47:D52)</f>
        <v>52952.733319584207</v>
      </c>
      <c r="E53" s="78">
        <f t="shared" ref="E53" si="59">SUM(E47:E52)</f>
        <v>198807.03997711465</v>
      </c>
      <c r="F53" s="78">
        <f t="shared" ref="F53" si="60">SUM(F47:F52)</f>
        <v>442613.62239721033</v>
      </c>
      <c r="G53" s="78">
        <f t="shared" ref="G53" si="61">SUM(G47:G52)</f>
        <v>233952.01945291908</v>
      </c>
      <c r="H53" s="78">
        <f t="shared" ref="H53" si="62">SUM(H47:H52)</f>
        <v>231317.95842751331</v>
      </c>
      <c r="I53" s="78">
        <f t="shared" ref="I53" si="63">SUM(I47:I52)</f>
        <v>12540.135338345865</v>
      </c>
      <c r="J53" s="78">
        <f t="shared" ref="J53" si="64">SUM(J47:J52)</f>
        <v>7724.449676348936</v>
      </c>
      <c r="K53" s="78">
        <f t="shared" ref="K53" si="65">SUM(K47:K52)</f>
        <v>794015.41501375556</v>
      </c>
      <c r="M53" s="76">
        <f t="shared" si="0"/>
        <v>2377.9318081943416</v>
      </c>
      <c r="N53" s="76">
        <f t="shared" si="1"/>
        <v>528.40865518660462</v>
      </c>
      <c r="O53" s="76">
        <f t="shared" si="2"/>
        <v>1321.1759810275501</v>
      </c>
      <c r="P53" s="76">
        <f t="shared" si="3"/>
        <v>8176.3125633195405</v>
      </c>
      <c r="Q53" s="76">
        <f t="shared" si="4"/>
        <v>7962.8249059496329</v>
      </c>
      <c r="R53" s="76">
        <f t="shared" si="5"/>
        <v>8671.3128040370302</v>
      </c>
      <c r="S53" s="76">
        <f t="shared" si="6"/>
        <v>8236.2058153678336</v>
      </c>
      <c r="T53" s="76">
        <f t="shared" si="7"/>
        <v>28271.364761665471</v>
      </c>
      <c r="U53" s="82"/>
      <c r="V53" s="86"/>
      <c r="W53" s="81"/>
      <c r="X53" s="77"/>
      <c r="Y53" s="76"/>
      <c r="Z53" s="81"/>
      <c r="AA53" s="76"/>
    </row>
  </sheetData>
  <pageMargins left="0.7" right="0.7" top="0.75" bottom="0.75" header="0.3" footer="0.3"/>
  <pageSetup orientation="portrait" r:id="rId1"/>
  <ignoredErrors>
    <ignoredError sqref="Z12:Z39 Z41:Z52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uncor BR PV</vt:lpstr>
      <vt:lpstr>cor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Ryan, Peter Crowley</dc:creator>
  <cp:lastModifiedBy>Ryan, Peter Crowley</cp:lastModifiedBy>
  <dcterms:created xsi:type="dcterms:W3CDTF">2022-04-15T19:58:36Z</dcterms:created>
  <dcterms:modified xsi:type="dcterms:W3CDTF">2023-05-17T17:00:16Z</dcterms:modified>
</cp:coreProperties>
</file>